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2000" windowHeight="6180" tabRatio="601" activeTab="0"/>
  </bookViews>
  <sheets>
    <sheet name="La busta paga" sheetId="1" r:id="rId1"/>
    <sheet name="tfr" sheetId="2" state="hidden" r:id="rId2"/>
    <sheet name="costi annuali" sheetId="3" r:id="rId3"/>
    <sheet name="istruzioni" sheetId="4" r:id="rId4"/>
    <sheet name="tab" sheetId="5" r:id="rId5"/>
    <sheet name="inp" sheetId="6" state="hidden" r:id="rId6"/>
    <sheet name="RETRIBUZIONI" sheetId="7" r:id="rId7"/>
  </sheets>
  <definedNames/>
  <calcPr fullCalcOnLoad="1"/>
</workbook>
</file>

<file path=xl/comments1.xml><?xml version="1.0" encoding="utf-8"?>
<comments xmlns="http://schemas.openxmlformats.org/spreadsheetml/2006/main">
  <authors>
    <author>Un utente Microsoft Office soddisfatto</author>
  </authors>
  <commentList>
    <comment ref="B2" authorId="0">
      <text>
        <r>
          <rPr>
            <sz val="8"/>
            <rFont val="Tahoma"/>
            <family val="0"/>
          </rPr>
          <t xml:space="preserve">Lo Studio Dott.M. Porcelli e' lieta di fornirvi questo strumento di lavoro per 
il calcolo delle retribuzioni 
e costo annuale azienda
</t>
        </r>
      </text>
    </comment>
    <comment ref="D6" authorId="0">
      <text>
        <r>
          <rPr>
            <sz val="8"/>
            <rFont val="Tahoma"/>
            <family val="0"/>
          </rPr>
          <t xml:space="preserve">Netto mensile calcolato
Per ottenere il netto desiderato modificare il superminimo sino al valore desiderato
</t>
        </r>
      </text>
    </comment>
    <comment ref="E6" authorId="0">
      <text>
        <r>
          <rPr>
            <sz val="8"/>
            <rFont val="Tahoma"/>
            <family val="0"/>
          </rPr>
          <t xml:space="preserve">inserire CF se si tratta di contratto di formazione
togliere la  COVELCO  non deve essere inserita
</t>
        </r>
      </text>
    </comment>
    <comment ref="F6" authorId="0">
      <text>
        <r>
          <rPr>
            <sz val="8"/>
            <rFont val="Tahoma"/>
            <family val="0"/>
          </rPr>
          <t>inserire il livello, per ottenete in automatico i valori retributivi contrattuali. Vedi tabelle</t>
        </r>
      </text>
    </comment>
    <comment ref="G6" authorId="0">
      <text>
        <r>
          <rPr>
            <sz val="8"/>
            <rFont val="Tahoma"/>
            <family val="0"/>
          </rPr>
          <t xml:space="preserve">Inserire PT se si tratta di lavoro a tempo parziale
</t>
        </r>
      </text>
    </comment>
    <comment ref="C8" authorId="0">
      <text>
        <r>
          <rPr>
            <sz val="8"/>
            <rFont val="Tahoma"/>
            <family val="0"/>
          </rPr>
          <t xml:space="preserve">inserire il valore di superminimo per ottenere il netto desiderato
</t>
        </r>
      </text>
    </comment>
    <comment ref="D10" authorId="0">
      <text>
        <r>
          <rPr>
            <sz val="8"/>
            <rFont val="Tahoma"/>
            <family val="0"/>
          </rPr>
          <t xml:space="preserve">inserire i gg lavorati, per il mese intero  inserire 26 giorni
</t>
        </r>
      </text>
    </comment>
    <comment ref="D11" authorId="0">
      <text>
        <r>
          <rPr>
            <sz val="8"/>
            <rFont val="Tahoma"/>
            <family val="0"/>
          </rPr>
          <t>iinserire il valore in giorni.
Per valorizzare le ferie non usufruite. Il dato e' in competenza</t>
        </r>
      </text>
    </comment>
    <comment ref="D12" authorId="0">
      <text>
        <r>
          <rPr>
            <sz val="8"/>
            <rFont val="Tahoma"/>
            <family val="0"/>
          </rPr>
          <t>inserire un valore in ore
per valorizzare lo straordinario in competenza</t>
        </r>
      </text>
    </comment>
    <comment ref="D13" authorId="0">
      <text>
        <r>
          <rPr>
            <sz val="8"/>
            <rFont val="Tahoma"/>
            <family val="0"/>
          </rPr>
          <t xml:space="preserve">inserire il valore in ore
</t>
        </r>
      </text>
    </comment>
    <comment ref="D14" authorId="0">
      <text>
        <r>
          <rPr>
            <sz val="8"/>
            <rFont val="Tahoma"/>
            <family val="0"/>
          </rPr>
          <t xml:space="preserve">Inserire valore in ore
</t>
        </r>
      </text>
    </comment>
    <comment ref="D15" authorId="0">
      <text>
        <r>
          <rPr>
            <sz val="8"/>
            <rFont val="Tahoma"/>
            <family val="0"/>
          </rPr>
          <t xml:space="preserve">inserire il dato in ore.
Per valorizzare i permessi non retribuiti .
Valore in trattenuta
</t>
        </r>
      </text>
    </comment>
    <comment ref="C19" authorId="0">
      <text>
        <r>
          <rPr>
            <sz val="8"/>
            <rFont val="Tahoma"/>
            <family val="0"/>
          </rPr>
          <t xml:space="preserve">Per dirigenti.
Inserire il valore mensile dell'auto aziendale
</t>
        </r>
      </text>
    </comment>
    <comment ref="B25" authorId="0">
      <text>
        <r>
          <rPr>
            <sz val="8"/>
            <rFont val="Tahoma"/>
            <family val="0"/>
          </rPr>
          <t xml:space="preserve">valore in cui scatta il calcolo dell'aliquiota aggiuntiva
</t>
        </r>
      </text>
    </comment>
    <comment ref="C25" authorId="0">
      <text>
        <r>
          <rPr>
            <sz val="8"/>
            <rFont val="Tahoma"/>
            <family val="0"/>
          </rPr>
          <t xml:space="preserve">inserire eventuali valori di assegni familiari spettanti 
Si sommano al netto.
</t>
        </r>
      </text>
    </comment>
    <comment ref="E25" authorId="0">
      <text>
        <r>
          <rPr>
            <sz val="8"/>
            <rFont val="Tahoma"/>
            <family val="0"/>
          </rPr>
          <t xml:space="preserve">percentuale aliquota aggiuntiva pensione
Da modificare solo in caso di variazione contributiva.
</t>
        </r>
      </text>
    </comment>
    <comment ref="G25" authorId="0">
      <text>
        <r>
          <rPr>
            <sz val="8"/>
            <rFont val="Tahoma"/>
            <family val="0"/>
          </rPr>
          <t xml:space="preserve">lordo mensile
</t>
        </r>
      </text>
    </comment>
    <comment ref="E27" authorId="0">
      <text>
        <r>
          <rPr>
            <sz val="8"/>
            <rFont val="Tahoma"/>
            <family val="0"/>
          </rPr>
          <t xml:space="preserve">percentuale di contributi a carico del dipendente
Il valore e' modoficabile, vedere tabelle contributive.
Attenzione apprendisti 5,84%
</t>
        </r>
      </text>
    </comment>
    <comment ref="F27" authorId="0">
      <text>
        <r>
          <rPr>
            <sz val="8"/>
            <rFont val="Tahoma"/>
            <family val="0"/>
          </rPr>
          <t xml:space="preserve">Totale dei contributi a carico del dipendente
</t>
        </r>
      </text>
    </comment>
    <comment ref="B29" authorId="0">
      <text>
        <r>
          <rPr>
            <sz val="8"/>
            <rFont val="Tahoma"/>
            <family val="0"/>
          </rPr>
          <t>rateo di ferie che il dipendente matura nel mese,  se vengono usufruite non valorizzare, metterte a zero</t>
        </r>
      </text>
    </comment>
    <comment ref="C29" authorId="0">
      <text>
        <r>
          <rPr>
            <sz val="8"/>
            <rFont val="Tahoma"/>
            <family val="0"/>
          </rPr>
          <t xml:space="preserve">rateo di ex festivita' che spettano al dipendente nel mese, se vengono usufruite non vanno valorizzate, mettere a zero.
</t>
        </r>
      </text>
    </comment>
    <comment ref="E29" authorId="0">
      <text>
        <r>
          <rPr>
            <sz val="8"/>
            <rFont val="Tahoma"/>
            <family val="0"/>
          </rPr>
          <t>deduzuioni spettanti per carichi familiari
inserire i dati nella tabella</t>
        </r>
      </text>
    </comment>
    <comment ref="F29" authorId="0">
      <text>
        <r>
          <rPr>
            <sz val="8"/>
            <rFont val="Tahoma"/>
            <family val="0"/>
          </rPr>
          <t>Totale dell'imposta.
Trattenute fiscali mensili</t>
        </r>
      </text>
    </comment>
    <comment ref="G29" authorId="0">
      <text>
        <r>
          <rPr>
            <sz val="8"/>
            <rFont val="Tahoma"/>
            <family val="0"/>
          </rPr>
          <t xml:space="preserve">contributo fiscale, valore mensile. Viene trattenuto al dipendente a fine anno in fase di conguaglio fiscale.
</t>
        </r>
      </text>
    </comment>
    <comment ref="B31" authorId="0">
      <text>
        <r>
          <rPr>
            <sz val="8"/>
            <rFont val="Tahoma"/>
            <family val="0"/>
          </rPr>
          <t xml:space="preserve">Il premio e' calcolato in base alla percentuale inidcata dellìINAIL
</t>
        </r>
      </text>
    </comment>
    <comment ref="D31" authorId="0">
      <text>
        <r>
          <rPr>
            <sz val="8"/>
            <rFont val="Tahoma"/>
            <family val="0"/>
          </rPr>
          <t xml:space="preserve">TFR maturato nel mese e accantonato.
</t>
        </r>
      </text>
    </comment>
    <comment ref="E31" authorId="0">
      <text>
        <r>
          <rPr>
            <sz val="8"/>
            <rFont val="Tahoma"/>
            <family val="0"/>
          </rPr>
          <t xml:space="preserve">rateo di 13 ma maturato nel mese.Viene accantonato e valorizzato nel costo annuale
</t>
        </r>
      </text>
    </comment>
    <comment ref="B33" authorId="0">
      <text>
        <r>
          <rPr>
            <sz val="8"/>
            <rFont val="Tahoma"/>
            <family val="0"/>
          </rPr>
          <t xml:space="preserve">percentuale del premio INAIL annuale del dipendente
</t>
        </r>
      </text>
    </comment>
    <comment ref="C33" authorId="0">
      <text>
        <r>
          <rPr>
            <sz val="8"/>
            <rFont val="Tahoma"/>
            <family val="0"/>
          </rPr>
          <t xml:space="preserve">percentuale contributiva a carico azienda
</t>
        </r>
      </text>
    </comment>
    <comment ref="D33" authorId="0">
      <text>
        <r>
          <rPr>
            <sz val="8"/>
            <rFont val="Tahoma"/>
            <family val="0"/>
          </rPr>
          <t xml:space="preserve">Il costo azienda comprende le ferie i ratei di 13ma e 14 ma e il TFR
</t>
        </r>
      </text>
    </comment>
    <comment ref="G33" authorId="0">
      <text>
        <r>
          <rPr>
            <sz val="8"/>
            <rFont val="Tahoma"/>
            <family val="0"/>
          </rPr>
          <t xml:space="preserve">totale netto mensile in busta
</t>
        </r>
      </text>
    </comment>
    <comment ref="B36" authorId="0">
      <text>
        <r>
          <rPr>
            <sz val="8"/>
            <rFont val="Tahoma"/>
            <family val="0"/>
          </rPr>
          <t xml:space="preserve">accantonamento TFR annuale valore lordo.
Per  sommare al netto viene calcolato l'IRPEF 1012 
</t>
        </r>
      </text>
    </comment>
    <comment ref="C36" authorId="0">
      <text>
        <r>
          <rPr>
            <sz val="8"/>
            <rFont val="Tahoma"/>
            <family val="0"/>
          </rPr>
          <t xml:space="preserve">Calcolata in fase di conguaglio fiscale annuale a carico dipendente. 
</t>
        </r>
      </text>
    </comment>
    <comment ref="D36" authorId="0">
      <text>
        <r>
          <rPr>
            <sz val="8"/>
            <rFont val="Tahoma"/>
            <family val="0"/>
          </rPr>
          <t xml:space="preserve">Costo compessivo a carico azienda comprensivo di TFR
</t>
        </r>
      </text>
    </comment>
    <comment ref="E36" authorId="0">
      <text>
        <r>
          <rPr>
            <sz val="8"/>
            <rFont val="Tahoma"/>
            <family val="0"/>
          </rPr>
          <t xml:space="preserve">comprensivo di mensilita' aggiuntive e TFR
</t>
        </r>
      </text>
    </comment>
    <comment ref="F36" authorId="0">
      <text>
        <r>
          <rPr>
            <sz val="8"/>
            <rFont val="Tahoma"/>
            <family val="0"/>
          </rPr>
          <t>valore annuale dei contributi e irpef versati dal sostituto d'imposta all'INPS -INAIL-E FISCO
carico ditta e dipendente</t>
        </r>
      </text>
    </comment>
    <comment ref="G36" authorId="0">
      <text>
        <r>
          <rPr>
            <sz val="8"/>
            <rFont val="Tahoma"/>
            <family val="0"/>
          </rPr>
          <t xml:space="preserve">netto annuale comprensivo di mensilita' aggiuntive e TFR netto.
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A25" authorId="0">
      <text>
        <r>
          <rPr>
            <b/>
            <sz val="8"/>
            <color indexed="8"/>
            <rFont val="Tahoma"/>
            <family val="2"/>
          </rPr>
          <t xml:space="preserve">Sniper:
</t>
        </r>
        <r>
          <rPr>
            <sz val="8"/>
            <color indexed="8"/>
            <rFont val="Tahoma"/>
            <family val="2"/>
          </rPr>
          <t xml:space="preserve">Attenzione! La seguente tabella vale per il calcolo delle detrazioni fino a tre figli. </t>
        </r>
      </text>
    </comment>
    <comment ref="C26" authorId="0">
      <text>
        <r>
          <rPr>
            <b/>
            <sz val="8"/>
            <color indexed="8"/>
            <rFont val="Tahoma"/>
            <family val="2"/>
          </rPr>
          <t xml:space="preserve">Sniper:
</t>
        </r>
        <r>
          <rPr>
            <sz val="8"/>
            <color indexed="8"/>
            <rFont val="Tahoma"/>
            <family val="2"/>
          </rPr>
          <t>Inserire 1 se la detrazione va ripartita al 50% oppure 2 se la detrazione va imputata per intero.</t>
        </r>
      </text>
    </comment>
    <comment ref="C27" authorId="0">
      <text>
        <r>
          <rPr>
            <b/>
            <sz val="8"/>
            <color indexed="8"/>
            <rFont val="Tahoma"/>
            <family val="2"/>
          </rPr>
          <t xml:space="preserve">Sniper:
</t>
        </r>
        <r>
          <rPr>
            <sz val="8"/>
            <color indexed="8"/>
            <rFont val="Tahoma"/>
            <family val="2"/>
          </rPr>
          <t>Inserire 1 se la detrazione va ripartita al 50% oppure 2 se la detrazione va imputata per intero.</t>
        </r>
      </text>
    </comment>
    <comment ref="C30" authorId="0">
      <text>
        <r>
          <rPr>
            <b/>
            <sz val="8"/>
            <color indexed="8"/>
            <rFont val="Tahoma"/>
            <family val="2"/>
          </rPr>
          <t xml:space="preserve">Sniper:
</t>
        </r>
        <r>
          <rPr>
            <sz val="8"/>
            <color indexed="8"/>
            <rFont val="Tahoma"/>
            <family val="2"/>
          </rPr>
          <t>Inserire 1 se la detrazione va ripartita al 50% oppure 2 se la detrazione va imputata per intero.</t>
        </r>
      </text>
    </comment>
    <comment ref="C31" authorId="0">
      <text>
        <r>
          <rPr>
            <b/>
            <sz val="8"/>
            <color indexed="8"/>
            <rFont val="Tahoma"/>
            <family val="2"/>
          </rPr>
          <t xml:space="preserve">Sniper:
</t>
        </r>
        <r>
          <rPr>
            <sz val="8"/>
            <color indexed="8"/>
            <rFont val="Tahoma"/>
            <family val="2"/>
          </rPr>
          <t>Inserire 1 se la detrazione va ripartita al 50% oppure 2 se la detrazione va imputata per intero.</t>
        </r>
      </text>
    </comment>
  </commentList>
</comments>
</file>

<file path=xl/comments6.xml><?xml version="1.0" encoding="utf-8"?>
<comments xmlns="http://schemas.openxmlformats.org/spreadsheetml/2006/main">
  <authors>
    <author/>
  </authors>
  <commentList>
    <comment ref="A2" authorId="0">
      <text>
        <r>
          <rPr>
            <b/>
            <sz val="8"/>
            <color indexed="8"/>
            <rFont val="Tahoma"/>
            <family val="2"/>
          </rPr>
          <t xml:space="preserve">User#001:
</t>
        </r>
        <r>
          <rPr>
            <sz val="8"/>
            <color indexed="8"/>
            <rFont val="Tahoma"/>
            <family val="2"/>
          </rPr>
          <t>Il reddito dei familiari a carico non deve essere superiore a € 2.840,51</t>
        </r>
      </text>
    </comment>
    <comment ref="A3" authorId="0">
      <text>
        <r>
          <rPr>
            <b/>
            <sz val="8"/>
            <color indexed="8"/>
            <rFont val="Tahoma"/>
            <family val="2"/>
          </rPr>
          <t xml:space="preserve">User#001:
</t>
        </r>
        <r>
          <rPr>
            <sz val="8"/>
            <color indexed="8"/>
            <rFont val="Tahoma"/>
            <family val="2"/>
          </rPr>
          <t>Coniuge non legalmente ed effettivamente separato</t>
        </r>
      </text>
    </comment>
    <comment ref="B3" authorId="0">
      <text>
        <r>
          <rPr>
            <b/>
            <sz val="8"/>
            <color indexed="8"/>
            <rFont val="Tahoma"/>
            <family val="2"/>
          </rPr>
          <t xml:space="preserve">User#001:
</t>
        </r>
        <r>
          <rPr>
            <sz val="8"/>
            <color indexed="8"/>
            <rFont val="Tahoma"/>
            <family val="2"/>
          </rPr>
          <t>Inserire: 
SI = A carico 
NO = Non a carico + Importo reddito nella casella a fianco</t>
        </r>
      </text>
    </comment>
    <comment ref="H3" authorId="0">
      <text>
        <r>
          <rPr>
            <b/>
            <sz val="8"/>
            <color indexed="8"/>
            <rFont val="Tahoma"/>
            <family val="2"/>
          </rPr>
          <t xml:space="preserve">User#001:
</t>
        </r>
        <r>
          <rPr>
            <sz val="8"/>
            <color indexed="8"/>
            <rFont val="Tahoma"/>
            <family val="2"/>
          </rPr>
          <t>Inserire SI o NO</t>
        </r>
      </text>
    </comment>
    <comment ref="A4" authorId="0">
      <text>
        <r>
          <rPr>
            <b/>
            <sz val="8"/>
            <color indexed="8"/>
            <rFont val="Tahoma"/>
            <family val="2"/>
          </rPr>
          <t xml:space="preserve">User#001:
</t>
        </r>
        <r>
          <rPr>
            <sz val="8"/>
            <color indexed="8"/>
            <rFont val="Tahoma"/>
            <family val="2"/>
          </rPr>
          <t>Compresi quelli naturali riconosciuti, adottivi, affidati, affiliati</t>
        </r>
      </text>
    </comment>
    <comment ref="B4" authorId="0">
      <text>
        <r>
          <rPr>
            <b/>
            <sz val="8"/>
            <color indexed="8"/>
            <rFont val="Tahoma"/>
            <family val="2"/>
          </rPr>
          <t xml:space="preserve">User#001:
</t>
        </r>
        <r>
          <rPr>
            <sz val="8"/>
            <color indexed="8"/>
            <rFont val="Tahoma"/>
            <family val="2"/>
          </rPr>
          <t>Indicare:
1 - La detrazione si viene ripartita al 50%;
2 - La detrazione viene imputata al 100% al reddito più elevato</t>
        </r>
      </text>
    </comment>
    <comment ref="H4" authorId="0">
      <text>
        <r>
          <rPr>
            <b/>
            <sz val="8"/>
            <color indexed="8"/>
            <rFont val="Tahoma"/>
            <family val="2"/>
          </rPr>
          <t xml:space="preserve">User#001:
</t>
        </r>
        <r>
          <rPr>
            <sz val="8"/>
            <color indexed="8"/>
            <rFont val="Tahoma"/>
            <family val="2"/>
          </rPr>
          <t>Inserire SI o NO</t>
        </r>
      </text>
    </comment>
    <comment ref="B5" authorId="0">
      <text>
        <r>
          <rPr>
            <b/>
            <sz val="8"/>
            <color indexed="8"/>
            <rFont val="Tahoma"/>
            <family val="2"/>
          </rPr>
          <t xml:space="preserve">User#001:
</t>
        </r>
        <r>
          <rPr>
            <sz val="8"/>
            <color indexed="8"/>
            <rFont val="Tahoma"/>
            <family val="2"/>
          </rPr>
          <t>Indicare:
1 - La detrazione si viene ripartita al 50%;
2 - La detrazione viene imputata al 100% al reddito più elevato</t>
        </r>
      </text>
    </comment>
    <comment ref="H5" authorId="0">
      <text>
        <r>
          <rPr>
            <b/>
            <sz val="8"/>
            <color indexed="8"/>
            <rFont val="Tahoma"/>
            <family val="2"/>
          </rPr>
          <t xml:space="preserve">User#001:
</t>
        </r>
        <r>
          <rPr>
            <sz val="8"/>
            <color indexed="8"/>
            <rFont val="Tahoma"/>
            <family val="2"/>
          </rPr>
          <t>Inserire SI o NO</t>
        </r>
      </text>
    </comment>
    <comment ref="B6" authorId="0">
      <text>
        <r>
          <rPr>
            <b/>
            <sz val="8"/>
            <color indexed="8"/>
            <rFont val="Tahoma"/>
            <family val="2"/>
          </rPr>
          <t xml:space="preserve">User#001:
</t>
        </r>
        <r>
          <rPr>
            <sz val="8"/>
            <color indexed="8"/>
            <rFont val="Tahoma"/>
            <family val="2"/>
          </rPr>
          <t>Indicare:
1 - La detrazione si viene ripartita al 50%;
2 - La detrazione viene imputata al 100% al reddito più elevato</t>
        </r>
      </text>
    </comment>
    <comment ref="H6" authorId="0">
      <text>
        <r>
          <rPr>
            <b/>
            <sz val="8"/>
            <color indexed="8"/>
            <rFont val="Tahoma"/>
            <family val="2"/>
          </rPr>
          <t xml:space="preserve">User#001:
</t>
        </r>
        <r>
          <rPr>
            <sz val="8"/>
            <color indexed="8"/>
            <rFont val="Tahoma"/>
            <family val="2"/>
          </rPr>
          <t>Inserire SI o NO</t>
        </r>
      </text>
    </comment>
    <comment ref="B7" authorId="0">
      <text>
        <r>
          <rPr>
            <b/>
            <sz val="8"/>
            <color indexed="8"/>
            <rFont val="Tahoma"/>
            <family val="2"/>
          </rPr>
          <t xml:space="preserve">User#001:
</t>
        </r>
        <r>
          <rPr>
            <sz val="8"/>
            <color indexed="8"/>
            <rFont val="Tahoma"/>
            <family val="2"/>
          </rPr>
          <t>Indicare:
1 - La detrazione si viene ripartita al 50%;
2 - La detrazione viene imputata al 100% al reddito più elevato</t>
        </r>
      </text>
    </comment>
    <comment ref="A8" authorId="0">
      <text>
        <r>
          <rPr>
            <b/>
            <sz val="8"/>
            <color indexed="8"/>
            <rFont val="Tahoma"/>
            <family val="2"/>
          </rPr>
          <t xml:space="preserve">User#001:
</t>
        </r>
        <r>
          <rPr>
            <sz val="8"/>
            <color indexed="8"/>
            <rFont val="Tahoma"/>
            <family val="2"/>
          </rPr>
          <t>Genitori, generi, nuore, suoceri, fratelli e sorelle a condizione che siano conviventi o che ricevano dal dichiarante un assegno alimentare non risultante da provvedimento dell'autorità giudiziaria</t>
        </r>
      </text>
    </comment>
    <comment ref="B8" authorId="0">
      <text>
        <r>
          <rPr>
            <b/>
            <sz val="8"/>
            <color indexed="8"/>
            <rFont val="Tahoma"/>
            <family val="2"/>
          </rPr>
          <t xml:space="preserve">User#001:
</t>
        </r>
        <r>
          <rPr>
            <sz val="8"/>
            <color indexed="8"/>
            <rFont val="Tahoma"/>
            <family val="2"/>
          </rPr>
          <t>Inserire SI o NO</t>
        </r>
      </text>
    </comment>
  </commentList>
</comments>
</file>

<file path=xl/comments7.xml><?xml version="1.0" encoding="utf-8"?>
<comments xmlns="http://schemas.openxmlformats.org/spreadsheetml/2006/main">
  <authors>
    <author>Un utente Microsoft Office soddisfatto</author>
  </authors>
  <commentList>
    <comment ref="C1" authorId="0">
      <text>
        <r>
          <rPr>
            <sz val="8"/>
            <rFont val="Tahoma"/>
            <family val="0"/>
          </rPr>
          <t>tabella dei dati retributivi contrattuali.
I dati possono essere modificati in base ai rinnovi contrattuali.
Queati dati vengono riportati in automatico sul cedolino in base al livello scelto.</t>
        </r>
      </text>
    </comment>
    <comment ref="B2" authorId="0">
      <text>
        <r>
          <rPr>
            <sz val="8"/>
            <rFont val="Tahoma"/>
            <family val="0"/>
          </rPr>
          <t xml:space="preserve">ore contrattuali del mese
</t>
        </r>
      </text>
    </comment>
    <comment ref="B33" authorId="0">
      <text>
        <r>
          <rPr>
            <sz val="8"/>
            <rFont val="Tahoma"/>
            <family val="0"/>
          </rPr>
          <t xml:space="preserve">irpef 1012 calcolato a tassazione separata su TFR maturato nell'anno
</t>
        </r>
      </text>
    </comment>
  </commentList>
</comments>
</file>

<file path=xl/sharedStrings.xml><?xml version="1.0" encoding="utf-8"?>
<sst xmlns="http://schemas.openxmlformats.org/spreadsheetml/2006/main" count="241" uniqueCount="212">
  <si>
    <t>ditta</t>
  </si>
  <si>
    <t>scadenza contratto</t>
  </si>
  <si>
    <t>decorrenza</t>
  </si>
  <si>
    <t>ultino adeguamento</t>
  </si>
  <si>
    <t>pross.adeguam</t>
  </si>
  <si>
    <t>contratto</t>
  </si>
  <si>
    <t>cognome nome</t>
  </si>
  <si>
    <t>NETTO IN BUSTA</t>
  </si>
  <si>
    <t>contrtatto di formazione</t>
  </si>
  <si>
    <t>livello qualidfica</t>
  </si>
  <si>
    <t>tempo parziale PT</t>
  </si>
  <si>
    <t>retribuzione base</t>
  </si>
  <si>
    <t>superminimo</t>
  </si>
  <si>
    <t>contingenza</t>
  </si>
  <si>
    <t>ind funz</t>
  </si>
  <si>
    <t>p.pro edr ecc</t>
  </si>
  <si>
    <t>totale st base</t>
  </si>
  <si>
    <t>descrizione</t>
  </si>
  <si>
    <t>dato base</t>
  </si>
  <si>
    <t>tratternute</t>
  </si>
  <si>
    <t>competenze</t>
  </si>
  <si>
    <t>GIORNI  O ORE STIPENDIO</t>
  </si>
  <si>
    <t>STRAORD  20%</t>
  </si>
  <si>
    <t>STRAORD. 30%</t>
  </si>
  <si>
    <t>PERMESSI NON RETRIBUITI ORE</t>
  </si>
  <si>
    <t>val mese aliq agg pens</t>
  </si>
  <si>
    <t xml:space="preserve">ass fam corr </t>
  </si>
  <si>
    <t>aliq.agg pens ecc</t>
  </si>
  <si>
    <t>% aliq agg pens</t>
  </si>
  <si>
    <t>tot trattenute</t>
  </si>
  <si>
    <t>tot competenze</t>
  </si>
  <si>
    <t>imp.fap</t>
  </si>
  <si>
    <t>imp ferie+13ma+14ma</t>
  </si>
  <si>
    <t>aliq.agg pens.</t>
  </si>
  <si>
    <t>ctr carico dip</t>
  </si>
  <si>
    <t>tot tr prev</t>
  </si>
  <si>
    <t>rateo ferie</t>
  </si>
  <si>
    <t>rateo frr</t>
  </si>
  <si>
    <t>irpef netta</t>
  </si>
  <si>
    <t>premio inail</t>
  </si>
  <si>
    <t>CTR carico azioenda</t>
  </si>
  <si>
    <t>TFR mese</t>
  </si>
  <si>
    <t>rateo 13ma</t>
  </si>
  <si>
    <t>rateo 14ma</t>
  </si>
  <si>
    <t xml:space="preserve">rateo fr+rff </t>
  </si>
  <si>
    <t>%premio inail</t>
  </si>
  <si>
    <t>% ctr carico azienda</t>
  </si>
  <si>
    <t>costo azienda</t>
  </si>
  <si>
    <t>arr+</t>
  </si>
  <si>
    <t>arr -</t>
  </si>
  <si>
    <t>totale netto</t>
  </si>
  <si>
    <t>TFR accantonato per anno</t>
  </si>
  <si>
    <t>add.region. anno</t>
  </si>
  <si>
    <t>costo azienda annuo</t>
  </si>
  <si>
    <t>lordo annuo dip</t>
  </si>
  <si>
    <t>ctr e tasse versate</t>
  </si>
  <si>
    <t>netto annuo dip</t>
  </si>
  <si>
    <t>DITTA</t>
  </si>
  <si>
    <t>TRATTAMENTO DI FINE RAPPORTO</t>
  </si>
  <si>
    <t>Cognome:</t>
  </si>
  <si>
    <t>Nome:</t>
  </si>
  <si>
    <t>Inizio rapporto</t>
  </si>
  <si>
    <t>Fine rapporto</t>
  </si>
  <si>
    <t>anni</t>
  </si>
  <si>
    <t>mesi</t>
  </si>
  <si>
    <t xml:space="preserve"> trattamento di fine rapporto</t>
  </si>
  <si>
    <t>Eventuale anticipazione anni precedenti</t>
  </si>
  <si>
    <t>Determinazione base imponibile</t>
  </si>
  <si>
    <t>Anticipazione TFR</t>
  </si>
  <si>
    <t>imponibile</t>
  </si>
  <si>
    <t>aliquota</t>
  </si>
  <si>
    <t xml:space="preserve">Riduzione </t>
  </si>
  <si>
    <t>x anni mesi</t>
  </si>
  <si>
    <t>Imponibile</t>
  </si>
  <si>
    <t>Determinazione aliquota</t>
  </si>
  <si>
    <t>oltre</t>
  </si>
  <si>
    <t>TFR</t>
  </si>
  <si>
    <t xml:space="preserve">imposta su </t>
  </si>
  <si>
    <t>=</t>
  </si>
  <si>
    <t>ALIQUOTA =</t>
  </si>
  <si>
    <t>X 100:</t>
  </si>
  <si>
    <t>IRPEF su  TFR</t>
  </si>
  <si>
    <t>x</t>
  </si>
  <si>
    <t>IRPEF su anticipaz gia' versata</t>
  </si>
  <si>
    <t>totale IRPEF</t>
  </si>
  <si>
    <t>TOTALE NETTO</t>
  </si>
  <si>
    <t>IL SOTTOSCRITTO</t>
  </si>
  <si>
    <t xml:space="preserve">DICHIARA DI RICEVERE DALLA DITTA </t>
  </si>
  <si>
    <t>LA SOMMA DI</t>
  </si>
  <si>
    <t xml:space="preserve">A TITOLO DI TRATTAMENTO DI FINE RAPPORTO </t>
  </si>
  <si>
    <t>DATA:</t>
  </si>
  <si>
    <t>FIRMA:</t>
  </si>
  <si>
    <t>COME SONO RIPARTITI I COSTI ?</t>
  </si>
  <si>
    <t>lordo dip</t>
  </si>
  <si>
    <t>ore mese</t>
  </si>
  <si>
    <t>costo az</t>
  </si>
  <si>
    <t>tasse e ctr ditta</t>
  </si>
  <si>
    <t>tasse ctr dip</t>
  </si>
  <si>
    <t>netto dip</t>
  </si>
  <si>
    <t>ore anno</t>
  </si>
  <si>
    <t>costo orario azienda</t>
  </si>
  <si>
    <t>mens.agg.</t>
  </si>
  <si>
    <t>ore nel mese</t>
  </si>
  <si>
    <t>liv</t>
  </si>
  <si>
    <t>minimo commercio</t>
  </si>
  <si>
    <t>conting</t>
  </si>
  <si>
    <t>tot</t>
  </si>
  <si>
    <t xml:space="preserve">TABELLA </t>
  </si>
  <si>
    <t>CONTRATTUALE</t>
  </si>
  <si>
    <t>iserire PT se tempo parziale</t>
  </si>
  <si>
    <t>PT</t>
  </si>
  <si>
    <t>rateo ferie mese</t>
  </si>
  <si>
    <t>1,83 gg</t>
  </si>
  <si>
    <t>rateo fr ex festivita'</t>
  </si>
  <si>
    <t>0,92 gg</t>
  </si>
  <si>
    <t>ctr carico az. Imp</t>
  </si>
  <si>
    <t>ctr carico az. Dir</t>
  </si>
  <si>
    <t>covelco</t>
  </si>
  <si>
    <t>Valore di 1 EURO</t>
  </si>
  <si>
    <t>giorni nel mese</t>
  </si>
  <si>
    <t>CF</t>
  </si>
  <si>
    <t>IRPEF --&gt;</t>
  </si>
  <si>
    <t>scatti</t>
  </si>
  <si>
    <t>EURO</t>
  </si>
  <si>
    <t>imp.fiscale lordo</t>
  </si>
  <si>
    <t>ACCONCIATORI</t>
  </si>
  <si>
    <t>PARUCCHIERI</t>
  </si>
  <si>
    <t>3 elem</t>
  </si>
  <si>
    <t>edr</t>
  </si>
  <si>
    <t>1APP</t>
  </si>
  <si>
    <t>2APP</t>
  </si>
  <si>
    <t>3APP</t>
  </si>
  <si>
    <t>4APP</t>
  </si>
  <si>
    <t>Apprendistato stilisti acconciatori</t>
  </si>
  <si>
    <t>1 semestre</t>
  </si>
  <si>
    <t>2 semestre</t>
  </si>
  <si>
    <t>3 semestre</t>
  </si>
  <si>
    <t>4 semestre</t>
  </si>
  <si>
    <t>3 anno</t>
  </si>
  <si>
    <t>4 anno</t>
  </si>
  <si>
    <t>5 anno</t>
  </si>
  <si>
    <t>Scegli l'anzianita' di appendistato</t>
  </si>
  <si>
    <t>STRAORD. 50%</t>
  </si>
  <si>
    <t>FESTIVITA'</t>
  </si>
  <si>
    <t>deduz familiari</t>
  </si>
  <si>
    <t>MAGG 10%</t>
  </si>
  <si>
    <t>EL AGG RETR</t>
  </si>
  <si>
    <t>INCENTIVO MESE</t>
  </si>
  <si>
    <t>detrazioni</t>
  </si>
  <si>
    <t>INSERIMENTO</t>
  </si>
  <si>
    <t>Detrazioni Familiari a Carico</t>
  </si>
  <si>
    <t>Tipo di reddito</t>
  </si>
  <si>
    <t>Coniuge</t>
  </si>
  <si>
    <t>SI</t>
  </si>
  <si>
    <t>Lavoro dipendente</t>
  </si>
  <si>
    <t>Figli &lt; 3 anni</t>
  </si>
  <si>
    <t>Numero</t>
  </si>
  <si>
    <t>Altri redditi</t>
  </si>
  <si>
    <t>Figli &gt; 3 anni</t>
  </si>
  <si>
    <t>Pensionato &lt; 75 anni</t>
  </si>
  <si>
    <t>NO</t>
  </si>
  <si>
    <t>Figli portatori Handicap &lt; 3</t>
  </si>
  <si>
    <t>Pensionato &gt; 75 anni</t>
  </si>
  <si>
    <t>Figli portatori Handicap &gt; 3</t>
  </si>
  <si>
    <t>Totale</t>
  </si>
  <si>
    <t>Altri Familiari</t>
  </si>
  <si>
    <t>Reddito complessivo</t>
  </si>
  <si>
    <t>RISULTATI</t>
  </si>
  <si>
    <t>Imposta lorda</t>
  </si>
  <si>
    <t>Detrazioni coniuge</t>
  </si>
  <si>
    <t>Detrazione per figli</t>
  </si>
  <si>
    <t>Detrazioni per reddito</t>
  </si>
  <si>
    <t>Imposta netta</t>
  </si>
  <si>
    <t>Detrazione Familiari</t>
  </si>
  <si>
    <t>Tabella scaglioni reddito annuali</t>
  </si>
  <si>
    <t>Reddito:</t>
  </si>
  <si>
    <t>Imposta:</t>
  </si>
  <si>
    <t>Val Iniziale</t>
  </si>
  <si>
    <t>Val Finale</t>
  </si>
  <si>
    <t>Aliquota</t>
  </si>
  <si>
    <t>Differenza</t>
  </si>
  <si>
    <t>Imposta</t>
  </si>
  <si>
    <t>Scaglione</t>
  </si>
  <si>
    <t>Tabella scaglioni reddito per maggiorazione detrazioni coniuge</t>
  </si>
  <si>
    <t>Importo Maggiorazione</t>
  </si>
  <si>
    <t>Detrazione</t>
  </si>
  <si>
    <t>Totale Detrazioni coniuge</t>
  </si>
  <si>
    <t>Detrazione per figli a carico</t>
  </si>
  <si>
    <t>Numero Figli:</t>
  </si>
  <si>
    <t>&lt; 3 anni</t>
  </si>
  <si>
    <t>&gt; 3 anni</t>
  </si>
  <si>
    <t>Figli portatori di handicap</t>
  </si>
  <si>
    <t>Somma detrazioni per figli a carico</t>
  </si>
  <si>
    <t>Detrazione per familiari a carico:</t>
  </si>
  <si>
    <t>Detrazione per lavoro dipendente:</t>
  </si>
  <si>
    <t>Tabella maggiorazioni detrazioni lavoro dipendente</t>
  </si>
  <si>
    <t>Importo maggiorazione</t>
  </si>
  <si>
    <t>tabella detrazione pensionati &lt; 75</t>
  </si>
  <si>
    <t>tabella detrazione pensionati =&gt; 75</t>
  </si>
  <si>
    <t>Iniziale</t>
  </si>
  <si>
    <t>Finale</t>
  </si>
  <si>
    <t>Totale detrazioni</t>
  </si>
  <si>
    <t>Detrazioni per altri redditi</t>
  </si>
  <si>
    <t>Totale detrazioni per reddito</t>
  </si>
  <si>
    <t>no</t>
  </si>
  <si>
    <t>Credito art 1 dl66/2014</t>
  </si>
  <si>
    <t>sito www.airu.org/</t>
  </si>
  <si>
    <t>AIRU Assiciazione Risosrse Umane</t>
  </si>
  <si>
    <t xml:space="preserve">Trattenuta soggetta </t>
  </si>
  <si>
    <t xml:space="preserve">ADD REG </t>
  </si>
  <si>
    <t>addiz.comunale</t>
  </si>
  <si>
    <t>LA  B U S T A  P A G A  2 019</t>
  </si>
</sst>
</file>

<file path=xl/styles.xml><?xml version="1.0" encoding="utf-8"?>
<styleSheet xmlns="http://schemas.openxmlformats.org/spreadsheetml/2006/main">
  <numFmts count="5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_ ;\-#,##0\ "/>
    <numFmt numFmtId="171" formatCode="#,##0;[Red]#,##0"/>
    <numFmt numFmtId="172" formatCode="_-* #,##0.00_-;\-* #,##0.00_-;_-* &quot;-&quot;_-;_-@_-"/>
    <numFmt numFmtId="173" formatCode="&quot;L.&quot;\ #,##0"/>
    <numFmt numFmtId="174" formatCode="0.0%"/>
    <numFmt numFmtId="175" formatCode="_-* #,##0.000000_-;\-* #,##0.000000_-;_-* &quot;-&quot;_-;_-@_-"/>
    <numFmt numFmtId="176" formatCode="0.00000"/>
    <numFmt numFmtId="177" formatCode="_-* #,##0.0_-;\-* #,##0.0_-;_-* &quot;-&quot;_-;_-@_-"/>
    <numFmt numFmtId="178" formatCode="_-&quot;L.&quot;\ * #,##0.0_-;\-&quot;L.&quot;\ * #,##0.0_-;_-&quot;L.&quot;\ * &quot;-&quot;_-;_-@_-"/>
    <numFmt numFmtId="179" formatCode="_-&quot;L.&quot;\ * #,##0.00_-;\-&quot;L.&quot;\ * #,##0.00_-;_-&quot;L.&quot;\ * &quot;-&quot;_-;_-@_-"/>
    <numFmt numFmtId="180" formatCode="_-* #,##0.000_-;\-* #,##0.000_-;_-* &quot;-&quot;_-;_-@_-"/>
    <numFmt numFmtId="181" formatCode="_-* #,##0.0000_-;\-* #,##0.0000_-;_-* &quot;-&quot;_-;_-@_-"/>
    <numFmt numFmtId="182" formatCode="_-* #,##0.00000_-;\-* #,##0.00000_-;_-* &quot;-&quot;_-;_-@_-"/>
    <numFmt numFmtId="183" formatCode="_-* #,##0.0000000_-;\-* #,##0.0000000_-;_-* &quot;-&quot;_-;_-@_-"/>
    <numFmt numFmtId="184" formatCode="_-* #,##0.00000000_-;\-* #,##0.00000000_-;_-* &quot;-&quot;_-;_-@_-"/>
    <numFmt numFmtId="185" formatCode="#,##0.0;[Red]#,##0.0"/>
    <numFmt numFmtId="186" formatCode="#,##0.00;[Red]#,##0.00"/>
    <numFmt numFmtId="187" formatCode="_-[$€-2]\ * #,##0.00_-;\-[$€-2]\ * #,##0.00_-;_-[$€-2]\ * &quot;-&quot;??_-"/>
    <numFmt numFmtId="188" formatCode="#,##0.0_ ;\-#,##0.0\ "/>
    <numFmt numFmtId="189" formatCode="#,##0.00_ ;\-#,##0.00\ "/>
    <numFmt numFmtId="190" formatCode="_-[$€]\ * #,##0.00_-;\-[$€]\ * #,##0.00_-;_-[$€]\ * &quot;-&quot;??_-;_-@_-"/>
    <numFmt numFmtId="191" formatCode="#,##0.000_ ;\-#,##0.000\ "/>
    <numFmt numFmtId="192" formatCode="#,##0.0000_ ;\-#,##0.0000\ "/>
    <numFmt numFmtId="193" formatCode="#,##0.00000_ ;\-#,##0.00000\ "/>
    <numFmt numFmtId="194" formatCode="#,##0.000000_ ;\-#,##0.000000\ "/>
    <numFmt numFmtId="195" formatCode="_-* #,##0.00\ [$€-1007]_-;\-* #,##0.00\ [$€-1007]_-;_-* &quot;-&quot;??\ [$€-1007]_-;_-@_-"/>
    <numFmt numFmtId="196" formatCode="_-[$€-2]\ * #,##0.00000_-;\-[$€-2]\ * #,##0.00000_-;_-[$€-2]\ * &quot;-&quot;??_-"/>
    <numFmt numFmtId="197" formatCode="_-[$L.-480A]\ * #,##0_ ;_-[$L.-480A]\ * \-#,##0\ ;_-[$L.-480A]\ * &quot;-&quot;_ ;_-@_ "/>
    <numFmt numFmtId="198" formatCode="_-[$€]\ * #,##0.000_-;\-[$€]\ * #,##0.000_-;_-[$€]\ * &quot;-&quot;??_-;_-@_-"/>
    <numFmt numFmtId="199" formatCode="_-[$€]\ * #,##0.0000_-;\-[$€]\ * #,##0.0000_-;_-[$€]\ * &quot;-&quot;??_-;_-@_-"/>
    <numFmt numFmtId="200" formatCode="_-[$€]\ * #,##0.00000_-;\-[$€]\ * #,##0.00000_-;_-[$€]\ * &quot;-&quot;??_-;_-@_-"/>
    <numFmt numFmtId="201" formatCode="_-* #,##0.00000\ [$€-1007]_-;\-* #,##0.00000\ [$€-1007]_-;_-* &quot;-&quot;?????\ [$€-1007]_-;_-@_-"/>
    <numFmt numFmtId="202" formatCode="_-[$€-2]\ * #,##0.0000_-;\-[$€-2]\ * #,##0.0000_-;_-[$€-2]\ * &quot;-&quot;??_-"/>
    <numFmt numFmtId="203" formatCode="_-[$€-2]\ * #,##0.000_-;\-[$€-2]\ * #,##0.000_-;_-[$€-2]\ * &quot;-&quot;??_-"/>
    <numFmt numFmtId="204" formatCode="_-* #,##0.00000_-;\-* #,##0.00000_-;_-* &quot;-&quot;?????_-;_-@_-"/>
    <numFmt numFmtId="205" formatCode="_-[$€-2]\ * #,##0.00_-;\-[$€-2]\ * #,##0.00_-;_-[$€-2]\ * &quot;-&quot;??_-;_-@_-"/>
    <numFmt numFmtId="206" formatCode="_-* #,##0.000000\ [$€-1007]_-;\-* #,##0.000000\ [$€-1007]_-;_-* &quot;-&quot;??????\ [$€-1007]_-;_-@_-"/>
    <numFmt numFmtId="207" formatCode="#,##0.0000"/>
    <numFmt numFmtId="208" formatCode="0.0000"/>
    <numFmt numFmtId="209" formatCode="0.000"/>
    <numFmt numFmtId="210" formatCode="0.000000"/>
  </numFmts>
  <fonts count="6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0"/>
    </font>
    <font>
      <sz val="10"/>
      <color indexed="9"/>
      <name val="Arial"/>
      <family val="2"/>
    </font>
    <font>
      <sz val="20"/>
      <color indexed="21"/>
      <name val="Times New Roman Tur"/>
      <family val="1"/>
    </font>
    <font>
      <b/>
      <sz val="10"/>
      <color indexed="8"/>
      <name val="Times New Roman Greek"/>
      <family val="1"/>
    </font>
    <font>
      <sz val="10"/>
      <name val="Lucida Casual"/>
      <family val="4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8"/>
      <color indexed="19"/>
      <name val="Verdana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color indexed="19"/>
      <name val="Verdana"/>
      <family val="2"/>
    </font>
    <font>
      <b/>
      <sz val="8"/>
      <color indexed="60"/>
      <name val="Verdan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8"/>
      <name val="Verdana"/>
      <family val="2"/>
    </font>
    <font>
      <b/>
      <sz val="8"/>
      <color indexed="56"/>
      <name val="Verdana"/>
      <family val="2"/>
    </font>
    <font>
      <b/>
      <sz val="10"/>
      <name val="Verdana"/>
      <family val="2"/>
    </font>
    <font>
      <sz val="9.2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>
        <color indexed="63"/>
      </top>
      <bottom style="double"/>
    </border>
    <border>
      <left style="medium">
        <color indexed="31"/>
      </left>
      <right>
        <color indexed="63"/>
      </right>
      <top style="medium">
        <color indexed="31"/>
      </top>
      <bottom style="medium">
        <color indexed="31"/>
      </bottom>
    </border>
    <border>
      <left>
        <color indexed="63"/>
      </left>
      <right>
        <color indexed="63"/>
      </right>
      <top style="medium">
        <color indexed="31"/>
      </top>
      <bottom style="medium">
        <color indexed="31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 style="medium">
        <color indexed="31"/>
      </right>
      <top style="medium">
        <color indexed="31"/>
      </top>
      <bottom>
        <color indexed="63"/>
      </bottom>
    </border>
    <border>
      <left>
        <color indexed="63"/>
      </left>
      <right style="medium">
        <color indexed="31"/>
      </right>
      <top>
        <color indexed="63"/>
      </top>
      <bottom>
        <color indexed="63"/>
      </bottom>
    </border>
    <border>
      <left style="medium">
        <color indexed="31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31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31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>
        <color indexed="63"/>
      </bottom>
    </border>
    <border>
      <left style="medium">
        <color indexed="31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>
        <color indexed="63"/>
      </left>
      <right style="medium">
        <color indexed="31"/>
      </right>
      <top>
        <color indexed="63"/>
      </top>
      <bottom style="medium">
        <color indexed="31"/>
      </bottom>
    </border>
    <border>
      <left style="thin">
        <color indexed="8"/>
      </left>
      <right style="thin">
        <color indexed="8"/>
      </right>
      <top style="medium">
        <color indexed="21"/>
      </top>
      <bottom style="thin">
        <color indexed="8"/>
      </bottom>
    </border>
    <border>
      <left>
        <color indexed="63"/>
      </left>
      <right style="medium">
        <color indexed="21"/>
      </right>
      <top style="medium">
        <color indexed="21"/>
      </top>
      <bottom>
        <color indexed="63"/>
      </bottom>
    </border>
    <border>
      <left style="medium">
        <color indexed="21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21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2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1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1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21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medium">
        <color indexed="21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21"/>
      </left>
      <right style="thin">
        <color indexed="8"/>
      </right>
      <top style="medium">
        <color indexed="21"/>
      </top>
      <bottom style="thin">
        <color indexed="8"/>
      </bottom>
    </border>
    <border>
      <left style="medium">
        <color indexed="31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31"/>
      </right>
      <top style="medium">
        <color indexed="31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2" applyNumberFormat="0" applyFill="0" applyAlignment="0" applyProtection="0"/>
    <xf numFmtId="0" fontId="50" fillId="21" borderId="3" applyNumberFormat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190" fontId="0" fillId="0" borderId="0" applyFont="0" applyFill="0" applyBorder="0" applyAlignment="0" applyProtection="0"/>
    <xf numFmtId="0" fontId="5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0" fontId="53" fillId="20" borderId="5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02">
    <xf numFmtId="0" fontId="0" fillId="0" borderId="0" xfId="0" applyAlignment="1">
      <alignment/>
    </xf>
    <xf numFmtId="0" fontId="0" fillId="0" borderId="0" xfId="0" applyBorder="1" applyAlignment="1">
      <alignment/>
    </xf>
    <xf numFmtId="41" fontId="0" fillId="0" borderId="0" xfId="45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41" fontId="0" fillId="0" borderId="0" xfId="45" applyFont="1" applyBorder="1" applyAlignment="1">
      <alignment/>
    </xf>
    <xf numFmtId="0" fontId="1" fillId="0" borderId="0" xfId="0" applyFont="1" applyAlignment="1">
      <alignment horizontal="center"/>
    </xf>
    <xf numFmtId="9" fontId="0" fillId="0" borderId="0" xfId="0" applyNumberFormat="1" applyBorder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41" fontId="0" fillId="0" borderId="0" xfId="45" applyFont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/>
      <protection hidden="1"/>
    </xf>
    <xf numFmtId="0" fontId="1" fillId="33" borderId="10" xfId="0" applyFont="1" applyFill="1" applyBorder="1" applyAlignment="1" applyProtection="1">
      <alignment horizontal="center"/>
      <protection hidden="1"/>
    </xf>
    <xf numFmtId="14" fontId="0" fillId="33" borderId="11" xfId="0" applyNumberFormat="1" applyFill="1" applyBorder="1" applyAlignment="1" applyProtection="1">
      <alignment horizontal="center"/>
      <protection hidden="1" locked="0"/>
    </xf>
    <xf numFmtId="17" fontId="0" fillId="33" borderId="12" xfId="0" applyNumberFormat="1" applyFill="1" applyBorder="1" applyAlignment="1" applyProtection="1">
      <alignment/>
      <protection hidden="1" locked="0"/>
    </xf>
    <xf numFmtId="0" fontId="0" fillId="33" borderId="13" xfId="0" applyFill="1" applyBorder="1" applyAlignment="1" applyProtection="1">
      <alignment/>
      <protection hidden="1" locked="0"/>
    </xf>
    <xf numFmtId="0" fontId="2" fillId="33" borderId="11" xfId="0" applyFont="1" applyFill="1" applyBorder="1" applyAlignment="1" applyProtection="1">
      <alignment horizontal="center"/>
      <protection hidden="1" locked="0"/>
    </xf>
    <xf numFmtId="2" fontId="0" fillId="33" borderId="14" xfId="0" applyNumberFormat="1" applyFill="1" applyBorder="1" applyAlignment="1" applyProtection="1">
      <alignment/>
      <protection hidden="1" locked="0"/>
    </xf>
    <xf numFmtId="172" fontId="0" fillId="33" borderId="14" xfId="45" applyNumberFormat="1" applyFont="1" applyFill="1" applyBorder="1" applyAlignment="1" applyProtection="1">
      <alignment/>
      <protection hidden="1" locked="0"/>
    </xf>
    <xf numFmtId="0" fontId="4" fillId="33" borderId="11" xfId="0" applyFont="1" applyFill="1" applyBorder="1" applyAlignment="1" applyProtection="1">
      <alignment/>
      <protection hidden="1" locked="0"/>
    </xf>
    <xf numFmtId="10" fontId="0" fillId="33" borderId="0" xfId="0" applyNumberFormat="1" applyFill="1" applyBorder="1" applyAlignment="1" applyProtection="1">
      <alignment/>
      <protection hidden="1" locked="0"/>
    </xf>
    <xf numFmtId="0" fontId="1" fillId="34" borderId="15" xfId="0" applyFont="1" applyFill="1" applyBorder="1" applyAlignment="1" applyProtection="1">
      <alignment horizontal="center"/>
      <protection hidden="1"/>
    </xf>
    <xf numFmtId="0" fontId="1" fillId="35" borderId="16" xfId="0" applyFont="1" applyFill="1" applyBorder="1" applyAlignment="1" applyProtection="1">
      <alignment/>
      <protection hidden="1"/>
    </xf>
    <xf numFmtId="0" fontId="1" fillId="35" borderId="17" xfId="0" applyFont="1" applyFill="1" applyBorder="1" applyAlignment="1" applyProtection="1">
      <alignment/>
      <protection hidden="1"/>
    </xf>
    <xf numFmtId="0" fontId="1" fillId="35" borderId="18" xfId="0" applyFont="1" applyFill="1" applyBorder="1" applyAlignment="1" applyProtection="1">
      <alignment/>
      <protection hidden="1"/>
    </xf>
    <xf numFmtId="0" fontId="1" fillId="35" borderId="19" xfId="0" applyFont="1" applyFill="1" applyBorder="1" applyAlignment="1" applyProtection="1">
      <alignment/>
      <protection hidden="1"/>
    </xf>
    <xf numFmtId="0" fontId="1" fillId="35" borderId="0" xfId="0" applyFont="1" applyFill="1" applyBorder="1" applyAlignment="1" applyProtection="1">
      <alignment/>
      <protection hidden="1"/>
    </xf>
    <xf numFmtId="0" fontId="1" fillId="35" borderId="17" xfId="0" applyFont="1" applyFill="1" applyBorder="1" applyAlignment="1" applyProtection="1">
      <alignment horizontal="center"/>
      <protection hidden="1"/>
    </xf>
    <xf numFmtId="0" fontId="1" fillId="35" borderId="18" xfId="0" applyFont="1" applyFill="1" applyBorder="1" applyAlignment="1" applyProtection="1">
      <alignment horizontal="center"/>
      <protection hidden="1"/>
    </xf>
    <xf numFmtId="0" fontId="1" fillId="35" borderId="14" xfId="0" applyFont="1" applyFill="1" applyBorder="1" applyAlignment="1" applyProtection="1">
      <alignment horizontal="center"/>
      <protection hidden="1"/>
    </xf>
    <xf numFmtId="0" fontId="0" fillId="35" borderId="14" xfId="0" applyFill="1" applyBorder="1" applyAlignment="1" applyProtection="1">
      <alignment/>
      <protection hidden="1"/>
    </xf>
    <xf numFmtId="0" fontId="1" fillId="35" borderId="14" xfId="0" applyFont="1" applyFill="1" applyBorder="1" applyAlignment="1" applyProtection="1">
      <alignment/>
      <protection hidden="1"/>
    </xf>
    <xf numFmtId="0" fontId="1" fillId="35" borderId="20" xfId="0" applyFont="1" applyFill="1" applyBorder="1" applyAlignment="1" applyProtection="1">
      <alignment/>
      <protection hidden="1"/>
    </xf>
    <xf numFmtId="0" fontId="1" fillId="35" borderId="21" xfId="0" applyFont="1" applyFill="1" applyBorder="1" applyAlignment="1" applyProtection="1">
      <alignment/>
      <protection hidden="1"/>
    </xf>
    <xf numFmtId="10" fontId="5" fillId="33" borderId="11" xfId="49" applyNumberFormat="1" applyFont="1" applyFill="1" applyBorder="1" applyAlignment="1" applyProtection="1">
      <alignment/>
      <protection locked="0"/>
    </xf>
    <xf numFmtId="173" fontId="0" fillId="0" borderId="0" xfId="49" applyNumberFormat="1" applyFont="1" applyAlignment="1">
      <alignment/>
    </xf>
    <xf numFmtId="173" fontId="0" fillId="0" borderId="0" xfId="0" applyNumberFormat="1" applyAlignment="1">
      <alignment/>
    </xf>
    <xf numFmtId="0" fontId="0" fillId="0" borderId="0" xfId="0" applyBorder="1" applyAlignment="1" applyProtection="1">
      <alignment/>
      <protection locked="0"/>
    </xf>
    <xf numFmtId="0" fontId="0" fillId="36" borderId="22" xfId="0" applyFill="1" applyBorder="1" applyAlignment="1">
      <alignment/>
    </xf>
    <xf numFmtId="41" fontId="0" fillId="36" borderId="22" xfId="0" applyNumberFormat="1" applyFill="1" applyBorder="1" applyAlignment="1">
      <alignment/>
    </xf>
    <xf numFmtId="0" fontId="0" fillId="36" borderId="22" xfId="0" applyFill="1" applyBorder="1" applyAlignment="1" applyProtection="1">
      <alignment/>
      <protection locked="0"/>
    </xf>
    <xf numFmtId="0" fontId="3" fillId="0" borderId="0" xfId="0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14" fontId="3" fillId="0" borderId="0" xfId="0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41" fontId="3" fillId="0" borderId="0" xfId="45" applyFont="1" applyBorder="1" applyAlignment="1">
      <alignment horizontal="left"/>
    </xf>
    <xf numFmtId="164" fontId="3" fillId="0" borderId="0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3" fillId="0" borderId="29" xfId="0" applyNumberFormat="1" applyFont="1" applyBorder="1" applyAlignment="1">
      <alignment/>
    </xf>
    <xf numFmtId="0" fontId="0" fillId="0" borderId="30" xfId="0" applyBorder="1" applyAlignment="1">
      <alignment/>
    </xf>
    <xf numFmtId="0" fontId="3" fillId="0" borderId="0" xfId="0" applyFont="1" applyBorder="1" applyAlignment="1">
      <alignment horizontal="right"/>
    </xf>
    <xf numFmtId="14" fontId="3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0" fontId="0" fillId="0" borderId="31" xfId="0" applyBorder="1" applyAlignment="1">
      <alignment/>
    </xf>
    <xf numFmtId="173" fontId="0" fillId="0" borderId="0" xfId="0" applyNumberFormat="1" applyAlignment="1" applyProtection="1">
      <alignment/>
      <protection locked="0"/>
    </xf>
    <xf numFmtId="0" fontId="2" fillId="33" borderId="31" xfId="0" applyFont="1" applyFill="1" applyBorder="1" applyAlignment="1" applyProtection="1">
      <alignment/>
      <protection hidden="1"/>
    </xf>
    <xf numFmtId="0" fontId="0" fillId="33" borderId="13" xfId="0" applyFont="1" applyFill="1" applyBorder="1" applyAlignment="1" applyProtection="1">
      <alignment/>
      <protection hidden="1"/>
    </xf>
    <xf numFmtId="0" fontId="0" fillId="33" borderId="23" xfId="0" applyFont="1" applyFill="1" applyBorder="1" applyAlignment="1" applyProtection="1">
      <alignment/>
      <protection hidden="1"/>
    </xf>
    <xf numFmtId="0" fontId="3" fillId="33" borderId="24" xfId="0" applyFont="1" applyFill="1" applyBorder="1" applyAlignment="1" applyProtection="1">
      <alignment/>
      <protection locked="0"/>
    </xf>
    <xf numFmtId="41" fontId="0" fillId="33" borderId="22" xfId="45" applyFont="1" applyFill="1" applyBorder="1" applyAlignment="1" applyProtection="1">
      <alignment/>
      <protection locked="0"/>
    </xf>
    <xf numFmtId="10" fontId="0" fillId="33" borderId="22" xfId="0" applyNumberFormat="1" applyFill="1" applyBorder="1" applyAlignment="1" applyProtection="1">
      <alignment/>
      <protection locked="0"/>
    </xf>
    <xf numFmtId="0" fontId="3" fillId="36" borderId="22" xfId="0" applyFont="1" applyFill="1" applyBorder="1" applyAlignment="1" applyProtection="1">
      <alignment/>
      <protection locked="0"/>
    </xf>
    <xf numFmtId="0" fontId="0" fillId="36" borderId="22" xfId="0" applyFill="1" applyBorder="1" applyAlignment="1">
      <alignment horizontal="left"/>
    </xf>
    <xf numFmtId="10" fontId="5" fillId="34" borderId="14" xfId="0" applyNumberFormat="1" applyFont="1" applyFill="1" applyBorder="1" applyAlignment="1" applyProtection="1">
      <alignment/>
      <protection hidden="1"/>
    </xf>
    <xf numFmtId="0" fontId="0" fillId="34" borderId="22" xfId="0" applyFill="1" applyBorder="1" applyAlignment="1">
      <alignment/>
    </xf>
    <xf numFmtId="0" fontId="11" fillId="37" borderId="22" xfId="0" applyFont="1" applyFill="1" applyBorder="1" applyAlignment="1">
      <alignment/>
    </xf>
    <xf numFmtId="41" fontId="11" fillId="37" borderId="22" xfId="0" applyNumberFormat="1" applyFont="1" applyFill="1" applyBorder="1" applyAlignment="1">
      <alignment/>
    </xf>
    <xf numFmtId="0" fontId="5" fillId="38" borderId="22" xfId="0" applyFont="1" applyFill="1" applyBorder="1" applyAlignment="1">
      <alignment/>
    </xf>
    <xf numFmtId="41" fontId="5" fillId="38" borderId="22" xfId="0" applyNumberFormat="1" applyFont="1" applyFill="1" applyBorder="1" applyAlignment="1">
      <alignment/>
    </xf>
    <xf numFmtId="41" fontId="0" fillId="34" borderId="22" xfId="45" applyFont="1" applyFill="1" applyBorder="1" applyAlignment="1">
      <alignment/>
    </xf>
    <xf numFmtId="41" fontId="0" fillId="35" borderId="11" xfId="45" applyFont="1" applyFill="1" applyBorder="1" applyAlignment="1" applyProtection="1">
      <alignment/>
      <protection hidden="1"/>
    </xf>
    <xf numFmtId="172" fontId="0" fillId="35" borderId="14" xfId="45" applyNumberFormat="1" applyFont="1" applyFill="1" applyBorder="1" applyAlignment="1" applyProtection="1">
      <alignment/>
      <protection hidden="1"/>
    </xf>
    <xf numFmtId="172" fontId="0" fillId="0" borderId="0" xfId="45" applyNumberFormat="1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ill="1" applyAlignment="1">
      <alignment/>
    </xf>
    <xf numFmtId="0" fontId="0" fillId="36" borderId="21" xfId="0" applyFill="1" applyBorder="1" applyAlignment="1">
      <alignment/>
    </xf>
    <xf numFmtId="0" fontId="1" fillId="33" borderId="32" xfId="0" applyFont="1" applyFill="1" applyBorder="1" applyAlignment="1" applyProtection="1">
      <alignment/>
      <protection hidden="1"/>
    </xf>
    <xf numFmtId="0" fontId="1" fillId="35" borderId="23" xfId="0" applyFont="1" applyFill="1" applyBorder="1" applyAlignment="1" applyProtection="1">
      <alignment/>
      <protection hidden="1"/>
    </xf>
    <xf numFmtId="0" fontId="6" fillId="36" borderId="24" xfId="0" applyFont="1" applyFill="1" applyBorder="1" applyAlignment="1" applyProtection="1">
      <alignment horizontal="center"/>
      <protection hidden="1"/>
    </xf>
    <xf numFmtId="0" fontId="1" fillId="35" borderId="10" xfId="0" applyFont="1" applyFill="1" applyBorder="1" applyAlignment="1" applyProtection="1">
      <alignment horizontal="center"/>
      <protection hidden="1"/>
    </xf>
    <xf numFmtId="0" fontId="1" fillId="35" borderId="32" xfId="0" applyFont="1" applyFill="1" applyBorder="1" applyAlignment="1" applyProtection="1">
      <alignment horizontal="center"/>
      <protection hidden="1"/>
    </xf>
    <xf numFmtId="0" fontId="0" fillId="35" borderId="26" xfId="0" applyFill="1" applyBorder="1" applyAlignment="1" applyProtection="1">
      <alignment/>
      <protection hidden="1"/>
    </xf>
    <xf numFmtId="0" fontId="0" fillId="33" borderId="26" xfId="0" applyFill="1" applyBorder="1" applyAlignment="1" applyProtection="1">
      <alignment/>
      <protection hidden="1" locked="0"/>
    </xf>
    <xf numFmtId="0" fontId="0" fillId="33" borderId="0" xfId="0" applyFill="1" applyBorder="1" applyAlignment="1">
      <alignment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 locked="0"/>
    </xf>
    <xf numFmtId="0" fontId="0" fillId="0" borderId="0" xfId="0" applyFill="1" applyBorder="1" applyAlignment="1">
      <alignment/>
    </xf>
    <xf numFmtId="0" fontId="0" fillId="39" borderId="33" xfId="0" applyFill="1" applyBorder="1" applyAlignment="1">
      <alignment/>
    </xf>
    <xf numFmtId="0" fontId="3" fillId="36" borderId="17" xfId="0" applyFont="1" applyFill="1" applyBorder="1" applyAlignment="1">
      <alignment/>
    </xf>
    <xf numFmtId="0" fontId="3" fillId="36" borderId="14" xfId="0" applyFont="1" applyFill="1" applyBorder="1" applyAlignment="1">
      <alignment/>
    </xf>
    <xf numFmtId="0" fontId="0" fillId="36" borderId="14" xfId="0" applyFill="1" applyBorder="1" applyAlignment="1">
      <alignment/>
    </xf>
    <xf numFmtId="172" fontId="0" fillId="35" borderId="14" xfId="45" applyNumberFormat="1" applyFont="1" applyFill="1" applyBorder="1" applyAlignment="1" applyProtection="1">
      <alignment/>
      <protection hidden="1" locked="0"/>
    </xf>
    <xf numFmtId="0" fontId="0" fillId="35" borderId="26" xfId="0" applyFill="1" applyBorder="1" applyAlignment="1" applyProtection="1">
      <alignment/>
      <protection hidden="1" locked="0"/>
    </xf>
    <xf numFmtId="2" fontId="0" fillId="35" borderId="14" xfId="0" applyNumberFormat="1" applyFill="1" applyBorder="1" applyAlignment="1" applyProtection="1">
      <alignment/>
      <protection hidden="1" locked="0"/>
    </xf>
    <xf numFmtId="9" fontId="0" fillId="0" borderId="0" xfId="49" applyNumberFormat="1" applyFont="1" applyAlignment="1">
      <alignment/>
    </xf>
    <xf numFmtId="10" fontId="5" fillId="38" borderId="0" xfId="49" applyNumberFormat="1" applyFont="1" applyFill="1" applyBorder="1" applyAlignment="1">
      <alignment/>
    </xf>
    <xf numFmtId="10" fontId="11" fillId="37" borderId="0" xfId="49" applyNumberFormat="1" applyFont="1" applyFill="1" applyBorder="1" applyAlignment="1">
      <alignment/>
    </xf>
    <xf numFmtId="10" fontId="0" fillId="34" borderId="34" xfId="49" applyNumberFormat="1" applyFont="1" applyFill="1" applyBorder="1" applyAlignment="1">
      <alignment/>
    </xf>
    <xf numFmtId="10" fontId="0" fillId="36" borderId="0" xfId="45" applyNumberFormat="1" applyFont="1" applyFill="1" applyBorder="1" applyAlignment="1">
      <alignment/>
    </xf>
    <xf numFmtId="0" fontId="9" fillId="36" borderId="29" xfId="0" applyFont="1" applyFill="1" applyBorder="1" applyAlignment="1" applyProtection="1">
      <alignment/>
      <protection hidden="1"/>
    </xf>
    <xf numFmtId="0" fontId="5" fillId="36" borderId="30" xfId="0" applyFont="1" applyFill="1" applyBorder="1" applyAlignment="1">
      <alignment/>
    </xf>
    <xf numFmtId="0" fontId="0" fillId="33" borderId="0" xfId="0" applyFill="1" applyAlignment="1">
      <alignment/>
    </xf>
    <xf numFmtId="0" fontId="14" fillId="33" borderId="0" xfId="0" applyFont="1" applyFill="1" applyAlignment="1">
      <alignment/>
    </xf>
    <xf numFmtId="10" fontId="0" fillId="34" borderId="22" xfId="0" applyNumberFormat="1" applyFill="1" applyBorder="1" applyAlignment="1" applyProtection="1">
      <alignment/>
      <protection locked="0"/>
    </xf>
    <xf numFmtId="10" fontId="0" fillId="34" borderId="22" xfId="49" applyNumberFormat="1" applyFont="1" applyFill="1" applyBorder="1" applyAlignment="1" applyProtection="1">
      <alignment/>
      <protection locked="0"/>
    </xf>
    <xf numFmtId="172" fontId="0" fillId="36" borderId="22" xfId="45" applyNumberFormat="1" applyFont="1" applyFill="1" applyBorder="1" applyAlignment="1" applyProtection="1">
      <alignment/>
      <protection locked="0"/>
    </xf>
    <xf numFmtId="41" fontId="0" fillId="36" borderId="22" xfId="45" applyFont="1" applyFill="1" applyBorder="1" applyAlignment="1" applyProtection="1">
      <alignment/>
      <protection locked="0"/>
    </xf>
    <xf numFmtId="0" fontId="0" fillId="36" borderId="22" xfId="0" applyFill="1" applyBorder="1" applyAlignment="1" applyProtection="1">
      <alignment horizontal="right"/>
      <protection/>
    </xf>
    <xf numFmtId="0" fontId="0" fillId="36" borderId="22" xfId="0" applyFill="1" applyBorder="1" applyAlignment="1" applyProtection="1">
      <alignment/>
      <protection/>
    </xf>
    <xf numFmtId="0" fontId="6" fillId="36" borderId="21" xfId="0" applyFont="1" applyFill="1" applyBorder="1" applyAlignment="1" applyProtection="1">
      <alignment/>
      <protection locked="0"/>
    </xf>
    <xf numFmtId="0" fontId="1" fillId="35" borderId="35" xfId="0" applyFont="1" applyFill="1" applyBorder="1" applyAlignment="1" applyProtection="1">
      <alignment horizontal="center"/>
      <protection hidden="1"/>
    </xf>
    <xf numFmtId="0" fontId="0" fillId="35" borderId="24" xfId="0" applyFill="1" applyBorder="1" applyAlignment="1" applyProtection="1">
      <alignment/>
      <protection hidden="1"/>
    </xf>
    <xf numFmtId="0" fontId="1" fillId="35" borderId="36" xfId="0" applyFont="1" applyFill="1" applyBorder="1" applyAlignment="1" applyProtection="1">
      <alignment/>
      <protection hidden="1"/>
    </xf>
    <xf numFmtId="0" fontId="1" fillId="35" borderId="37" xfId="0" applyFont="1" applyFill="1" applyBorder="1" applyAlignment="1" applyProtection="1">
      <alignment/>
      <protection hidden="1"/>
    </xf>
    <xf numFmtId="0" fontId="4" fillId="33" borderId="38" xfId="0" applyFont="1" applyFill="1" applyBorder="1" applyAlignment="1" applyProtection="1">
      <alignment/>
      <protection hidden="1" locked="0"/>
    </xf>
    <xf numFmtId="0" fontId="1" fillId="35" borderId="37" xfId="0" applyFont="1" applyFill="1" applyBorder="1" applyAlignment="1" applyProtection="1">
      <alignment horizontal="center"/>
      <protection hidden="1"/>
    </xf>
    <xf numFmtId="0" fontId="1" fillId="35" borderId="39" xfId="0" applyFont="1" applyFill="1" applyBorder="1" applyAlignment="1" applyProtection="1">
      <alignment horizontal="center"/>
      <protection hidden="1"/>
    </xf>
    <xf numFmtId="0" fontId="1" fillId="36" borderId="40" xfId="0" applyFont="1" applyFill="1" applyBorder="1" applyAlignment="1" applyProtection="1">
      <alignment horizontal="center"/>
      <protection hidden="1"/>
    </xf>
    <xf numFmtId="172" fontId="3" fillId="0" borderId="0" xfId="0" applyNumberFormat="1" applyFont="1" applyFill="1" applyBorder="1" applyAlignment="1" applyProtection="1">
      <alignment/>
      <protection hidden="1"/>
    </xf>
    <xf numFmtId="10" fontId="5" fillId="33" borderId="19" xfId="0" applyNumberFormat="1" applyFont="1" applyFill="1" applyBorder="1" applyAlignment="1" applyProtection="1">
      <alignment/>
      <protection hidden="1" locked="0"/>
    </xf>
    <xf numFmtId="10" fontId="5" fillId="35" borderId="0" xfId="0" applyNumberFormat="1" applyFont="1" applyFill="1" applyBorder="1" applyAlignment="1" applyProtection="1">
      <alignment/>
      <protection hidden="1"/>
    </xf>
    <xf numFmtId="168" fontId="9" fillId="35" borderId="0" xfId="0" applyNumberFormat="1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 locked="0"/>
    </xf>
    <xf numFmtId="172" fontId="0" fillId="39" borderId="21" xfId="45" applyNumberFormat="1" applyFont="1" applyFill="1" applyBorder="1" applyAlignment="1" applyProtection="1">
      <alignment/>
      <protection locked="0"/>
    </xf>
    <xf numFmtId="0" fontId="0" fillId="35" borderId="41" xfId="0" applyFill="1" applyBorder="1" applyAlignment="1">
      <alignment/>
    </xf>
    <xf numFmtId="0" fontId="0" fillId="35" borderId="42" xfId="0" applyFill="1" applyBorder="1" applyAlignment="1">
      <alignment/>
    </xf>
    <xf numFmtId="0" fontId="12" fillId="35" borderId="42" xfId="0" applyFont="1" applyFill="1" applyBorder="1" applyAlignment="1">
      <alignment/>
    </xf>
    <xf numFmtId="0" fontId="0" fillId="35" borderId="0" xfId="0" applyFill="1" applyBorder="1" applyAlignment="1">
      <alignment/>
    </xf>
    <xf numFmtId="10" fontId="5" fillId="35" borderId="26" xfId="0" applyNumberFormat="1" applyFont="1" applyFill="1" applyBorder="1" applyAlignment="1" applyProtection="1">
      <alignment/>
      <protection hidden="1" locked="0"/>
    </xf>
    <xf numFmtId="0" fontId="4" fillId="36" borderId="22" xfId="0" applyFont="1" applyFill="1" applyBorder="1" applyAlignment="1">
      <alignment/>
    </xf>
    <xf numFmtId="0" fontId="4" fillId="34" borderId="22" xfId="0" applyFont="1" applyFill="1" applyBorder="1" applyAlignment="1">
      <alignment/>
    </xf>
    <xf numFmtId="0" fontId="5" fillId="35" borderId="22" xfId="0" applyFont="1" applyFill="1" applyBorder="1" applyAlignment="1">
      <alignment/>
    </xf>
    <xf numFmtId="0" fontId="4" fillId="36" borderId="39" xfId="0" applyFont="1" applyFill="1" applyBorder="1" applyAlignment="1">
      <alignment/>
    </xf>
    <xf numFmtId="0" fontId="4" fillId="36" borderId="43" xfId="0" applyFont="1" applyFill="1" applyBorder="1" applyAlignment="1">
      <alignment/>
    </xf>
    <xf numFmtId="41" fontId="3" fillId="36" borderId="22" xfId="45" applyFont="1" applyFill="1" applyBorder="1" applyAlignment="1">
      <alignment/>
    </xf>
    <xf numFmtId="0" fontId="0" fillId="40" borderId="33" xfId="0" applyFill="1" applyBorder="1" applyAlignment="1">
      <alignment/>
    </xf>
    <xf numFmtId="3" fontId="0" fillId="40" borderId="21" xfId="49" applyNumberFormat="1" applyFont="1" applyFill="1" applyBorder="1" applyAlignment="1" applyProtection="1">
      <alignment/>
      <protection locked="0"/>
    </xf>
    <xf numFmtId="0" fontId="0" fillId="36" borderId="14" xfId="0" applyFill="1" applyBorder="1" applyAlignment="1" applyProtection="1">
      <alignment/>
      <protection/>
    </xf>
    <xf numFmtId="0" fontId="0" fillId="36" borderId="11" xfId="0" applyFill="1" applyBorder="1" applyAlignment="1" applyProtection="1">
      <alignment/>
      <protection/>
    </xf>
    <xf numFmtId="0" fontId="13" fillId="36" borderId="28" xfId="0" applyFont="1" applyFill="1" applyBorder="1" applyAlignment="1" applyProtection="1">
      <alignment/>
      <protection/>
    </xf>
    <xf numFmtId="168" fontId="2" fillId="33" borderId="11" xfId="0" applyNumberFormat="1" applyFont="1" applyFill="1" applyBorder="1" applyAlignment="1" applyProtection="1">
      <alignment horizontal="center"/>
      <protection hidden="1" locked="0"/>
    </xf>
    <xf numFmtId="0" fontId="2" fillId="33" borderId="12" xfId="0" applyFont="1" applyFill="1" applyBorder="1" applyAlignment="1" applyProtection="1">
      <alignment horizontal="center"/>
      <protection hidden="1" locked="0"/>
    </xf>
    <xf numFmtId="10" fontId="0" fillId="39" borderId="21" xfId="49" applyNumberFormat="1" applyFont="1" applyFill="1" applyBorder="1" applyAlignment="1">
      <alignment/>
    </xf>
    <xf numFmtId="172" fontId="0" fillId="36" borderId="22" xfId="45" applyNumberFormat="1" applyFont="1" applyFill="1" applyBorder="1" applyAlignment="1">
      <alignment/>
    </xf>
    <xf numFmtId="172" fontId="0" fillId="0" borderId="0" xfId="49" applyNumberFormat="1" applyFont="1" applyAlignment="1">
      <alignment/>
    </xf>
    <xf numFmtId="172" fontId="0" fillId="0" borderId="0" xfId="49" applyNumberFormat="1" applyFont="1" applyAlignment="1" applyProtection="1">
      <alignment/>
      <protection hidden="1"/>
    </xf>
    <xf numFmtId="172" fontId="0" fillId="0" borderId="0" xfId="0" applyNumberFormat="1" applyAlignment="1" applyProtection="1">
      <alignment/>
      <protection hidden="1"/>
    </xf>
    <xf numFmtId="172" fontId="0" fillId="0" borderId="0" xfId="0" applyNumberFormat="1" applyAlignment="1">
      <alignment/>
    </xf>
    <xf numFmtId="172" fontId="1" fillId="0" borderId="0" xfId="0" applyNumberFormat="1" applyFont="1" applyBorder="1" applyAlignment="1">
      <alignment horizontal="center"/>
    </xf>
    <xf numFmtId="172" fontId="0" fillId="0" borderId="0" xfId="0" applyNumberFormat="1" applyBorder="1" applyAlignment="1" applyProtection="1">
      <alignment/>
      <protection hidden="1"/>
    </xf>
    <xf numFmtId="172" fontId="0" fillId="33" borderId="22" xfId="45" applyNumberFormat="1" applyFont="1" applyFill="1" applyBorder="1" applyAlignment="1" applyProtection="1">
      <alignment/>
      <protection locked="0"/>
    </xf>
    <xf numFmtId="172" fontId="0" fillId="0" borderId="0" xfId="45" applyNumberFormat="1" applyFont="1" applyAlignment="1">
      <alignment/>
    </xf>
    <xf numFmtId="172" fontId="0" fillId="0" borderId="0" xfId="45" applyNumberFormat="1" applyFont="1" applyBorder="1" applyAlignment="1" applyProtection="1">
      <alignment/>
      <protection hidden="1"/>
    </xf>
    <xf numFmtId="172" fontId="0" fillId="36" borderId="22" xfId="0" applyNumberFormat="1" applyFill="1" applyBorder="1" applyAlignment="1" applyProtection="1">
      <alignment/>
      <protection locked="0"/>
    </xf>
    <xf numFmtId="172" fontId="0" fillId="0" borderId="0" xfId="45" applyNumberFormat="1" applyFont="1" applyAlignment="1" applyProtection="1">
      <alignment/>
      <protection hidden="1"/>
    </xf>
    <xf numFmtId="172" fontId="0" fillId="35" borderId="44" xfId="45" applyNumberFormat="1" applyFont="1" applyFill="1" applyBorder="1" applyAlignment="1" applyProtection="1">
      <alignment/>
      <protection hidden="1"/>
    </xf>
    <xf numFmtId="172" fontId="0" fillId="35" borderId="45" xfId="45" applyNumberFormat="1" applyFont="1" applyFill="1" applyBorder="1" applyAlignment="1" applyProtection="1">
      <alignment/>
      <protection hidden="1"/>
    </xf>
    <xf numFmtId="186" fontId="0" fillId="35" borderId="14" xfId="0" applyNumberFormat="1" applyFill="1" applyBorder="1" applyAlignment="1" applyProtection="1">
      <alignment/>
      <protection hidden="1"/>
    </xf>
    <xf numFmtId="172" fontId="0" fillId="33" borderId="0" xfId="45" applyNumberFormat="1" applyFont="1" applyFill="1" applyBorder="1" applyAlignment="1" applyProtection="1">
      <alignment/>
      <protection hidden="1" locked="0"/>
    </xf>
    <xf numFmtId="172" fontId="0" fillId="35" borderId="12" xfId="0" applyNumberFormat="1" applyFill="1" applyBorder="1" applyAlignment="1" applyProtection="1">
      <alignment/>
      <protection hidden="1"/>
    </xf>
    <xf numFmtId="172" fontId="0" fillId="35" borderId="38" xfId="45" applyNumberFormat="1" applyFont="1" applyFill="1" applyBorder="1" applyAlignment="1" applyProtection="1">
      <alignment/>
      <protection hidden="1"/>
    </xf>
    <xf numFmtId="43" fontId="0" fillId="0" borderId="0" xfId="0" applyNumberFormat="1" applyBorder="1" applyAlignment="1" applyProtection="1">
      <alignment/>
      <protection hidden="1"/>
    </xf>
    <xf numFmtId="172" fontId="0" fillId="33" borderId="19" xfId="45" applyNumberFormat="1" applyFont="1" applyFill="1" applyBorder="1" applyAlignment="1" applyProtection="1">
      <alignment/>
      <protection hidden="1" locked="0"/>
    </xf>
    <xf numFmtId="172" fontId="0" fillId="35" borderId="11" xfId="0" applyNumberFormat="1" applyFill="1" applyBorder="1" applyAlignment="1" applyProtection="1">
      <alignment/>
      <protection hidden="1"/>
    </xf>
    <xf numFmtId="172" fontId="5" fillId="34" borderId="38" xfId="45" applyNumberFormat="1" applyFont="1" applyFill="1" applyBorder="1" applyAlignment="1" applyProtection="1">
      <alignment/>
      <protection hidden="1"/>
    </xf>
    <xf numFmtId="172" fontId="5" fillId="34" borderId="46" xfId="45" applyNumberFormat="1" applyFont="1" applyFill="1" applyBorder="1" applyAlignment="1" applyProtection="1">
      <alignment/>
      <protection hidden="1"/>
    </xf>
    <xf numFmtId="172" fontId="5" fillId="34" borderId="11" xfId="45" applyNumberFormat="1" applyFont="1" applyFill="1" applyBorder="1" applyAlignment="1" applyProtection="1">
      <alignment/>
      <protection hidden="1"/>
    </xf>
    <xf numFmtId="172" fontId="5" fillId="34" borderId="12" xfId="45" applyNumberFormat="1" applyFont="1" applyFill="1" applyBorder="1" applyAlignment="1" applyProtection="1">
      <alignment/>
      <protection hidden="1"/>
    </xf>
    <xf numFmtId="187" fontId="8" fillId="36" borderId="28" xfId="0" applyNumberFormat="1" applyFont="1" applyFill="1" applyBorder="1" applyAlignment="1" applyProtection="1">
      <alignment/>
      <protection hidden="1"/>
    </xf>
    <xf numFmtId="187" fontId="8" fillId="36" borderId="29" xfId="0" applyNumberFormat="1" applyFont="1" applyFill="1" applyBorder="1" applyAlignment="1" applyProtection="1">
      <alignment/>
      <protection hidden="1"/>
    </xf>
    <xf numFmtId="187" fontId="8" fillId="34" borderId="29" xfId="0" applyNumberFormat="1" applyFont="1" applyFill="1" applyBorder="1" applyAlignment="1" applyProtection="1">
      <alignment/>
      <protection hidden="1"/>
    </xf>
    <xf numFmtId="187" fontId="9" fillId="35" borderId="29" xfId="0" applyNumberFormat="1" applyFont="1" applyFill="1" applyBorder="1" applyAlignment="1" applyProtection="1">
      <alignment/>
      <protection hidden="1"/>
    </xf>
    <xf numFmtId="187" fontId="8" fillId="36" borderId="30" xfId="0" applyNumberFormat="1" applyFont="1" applyFill="1" applyBorder="1" applyAlignment="1" applyProtection="1">
      <alignment/>
      <protection hidden="1"/>
    </xf>
    <xf numFmtId="172" fontId="3" fillId="0" borderId="0" xfId="45" applyNumberFormat="1" applyFont="1" applyBorder="1" applyAlignment="1">
      <alignment/>
    </xf>
    <xf numFmtId="172" fontId="0" fillId="0" borderId="0" xfId="45" applyNumberFormat="1" applyFont="1" applyBorder="1" applyAlignment="1">
      <alignment horizontal="center"/>
    </xf>
    <xf numFmtId="0" fontId="1" fillId="35" borderId="22" xfId="0" applyFont="1" applyFill="1" applyBorder="1" applyAlignment="1" applyProtection="1">
      <alignment/>
      <protection hidden="1"/>
    </xf>
    <xf numFmtId="172" fontId="0" fillId="0" borderId="0" xfId="45" applyNumberFormat="1" applyFont="1" applyFill="1" applyBorder="1" applyAlignment="1" applyProtection="1">
      <alignment/>
      <protection hidden="1"/>
    </xf>
    <xf numFmtId="172" fontId="0" fillId="33" borderId="22" xfId="45" applyNumberFormat="1" applyFont="1" applyFill="1" applyBorder="1" applyAlignment="1" applyProtection="1">
      <alignment/>
      <protection hidden="1" locked="0"/>
    </xf>
    <xf numFmtId="189" fontId="0" fillId="35" borderId="11" xfId="45" applyNumberFormat="1" applyFont="1" applyFill="1" applyBorder="1" applyAlignment="1" applyProtection="1">
      <alignment/>
      <protection hidden="1" locked="0"/>
    </xf>
    <xf numFmtId="172" fontId="15" fillId="35" borderId="11" xfId="45" applyNumberFormat="1" applyFont="1" applyFill="1" applyBorder="1" applyAlignment="1" applyProtection="1">
      <alignment/>
      <protection hidden="1"/>
    </xf>
    <xf numFmtId="172" fontId="16" fillId="35" borderId="11" xfId="0" applyNumberFormat="1" applyFont="1" applyFill="1" applyBorder="1" applyAlignment="1" applyProtection="1">
      <alignment/>
      <protection hidden="1"/>
    </xf>
    <xf numFmtId="186" fontId="3" fillId="34" borderId="37" xfId="0" applyNumberFormat="1" applyFont="1" applyFill="1" applyBorder="1" applyAlignment="1" applyProtection="1">
      <alignment/>
      <protection hidden="1"/>
    </xf>
    <xf numFmtId="196" fontId="0" fillId="36" borderId="22" xfId="42" applyNumberFormat="1" applyFont="1" applyFill="1" applyBorder="1" applyAlignment="1">
      <alignment horizontal="right"/>
    </xf>
    <xf numFmtId="182" fontId="0" fillId="35" borderId="44" xfId="45" applyNumberFormat="1" applyFont="1" applyFill="1" applyBorder="1" applyAlignment="1" applyProtection="1">
      <alignment/>
      <protection hidden="1"/>
    </xf>
    <xf numFmtId="182" fontId="3" fillId="35" borderId="30" xfId="45" applyNumberFormat="1" applyFont="1" applyFill="1" applyBorder="1" applyAlignment="1" applyProtection="1">
      <alignment/>
      <protection hidden="1"/>
    </xf>
    <xf numFmtId="0" fontId="0" fillId="35" borderId="47" xfId="0" applyFill="1" applyBorder="1" applyAlignment="1">
      <alignment horizontal="right"/>
    </xf>
    <xf numFmtId="190" fontId="9" fillId="34" borderId="15" xfId="42" applyFont="1" applyFill="1" applyBorder="1" applyAlignment="1" applyProtection="1">
      <alignment/>
      <protection hidden="1"/>
    </xf>
    <xf numFmtId="0" fontId="6" fillId="35" borderId="0" xfId="0" applyFont="1" applyFill="1" applyBorder="1" applyAlignment="1" applyProtection="1">
      <alignment horizontal="right"/>
      <protection hidden="1"/>
    </xf>
    <xf numFmtId="197" fontId="3" fillId="35" borderId="22" xfId="0" applyNumberFormat="1" applyFont="1" applyFill="1" applyBorder="1" applyAlignment="1" applyProtection="1">
      <alignment/>
      <protection hidden="1"/>
    </xf>
    <xf numFmtId="190" fontId="0" fillId="36" borderId="22" xfId="42" applyFont="1" applyFill="1" applyBorder="1" applyAlignment="1" applyProtection="1">
      <alignment/>
      <protection locked="0"/>
    </xf>
    <xf numFmtId="200" fontId="0" fillId="36" borderId="22" xfId="42" applyNumberFormat="1" applyFont="1" applyFill="1" applyBorder="1" applyAlignment="1" applyProtection="1">
      <alignment/>
      <protection locked="0"/>
    </xf>
    <xf numFmtId="9" fontId="0" fillId="0" borderId="0" xfId="0" applyNumberFormat="1" applyAlignment="1">
      <alignment/>
    </xf>
    <xf numFmtId="0" fontId="3" fillId="0" borderId="0" xfId="45" applyNumberFormat="1" applyFont="1" applyAlignment="1">
      <alignment/>
    </xf>
    <xf numFmtId="0" fontId="3" fillId="0" borderId="0" xfId="0" applyNumberFormat="1" applyFont="1" applyAlignment="1" applyProtection="1">
      <alignment/>
      <protection hidden="1"/>
    </xf>
    <xf numFmtId="187" fontId="0" fillId="36" borderId="22" xfId="42" applyNumberFormat="1" applyFont="1" applyFill="1" applyBorder="1" applyAlignment="1">
      <alignment horizontal="right"/>
    </xf>
    <xf numFmtId="172" fontId="3" fillId="0" borderId="0" xfId="0" applyNumberFormat="1" applyFont="1" applyFill="1" applyAlignment="1">
      <alignment/>
    </xf>
    <xf numFmtId="172" fontId="3" fillId="0" borderId="0" xfId="45" applyNumberFormat="1" applyFont="1" applyAlignment="1">
      <alignment/>
    </xf>
    <xf numFmtId="190" fontId="0" fillId="33" borderId="37" xfId="42" applyFont="1" applyFill="1" applyBorder="1" applyAlignment="1" applyProtection="1">
      <alignment/>
      <protection hidden="1" locked="0"/>
    </xf>
    <xf numFmtId="190" fontId="0" fillId="0" borderId="0" xfId="42" applyFont="1" applyFill="1" applyBorder="1" applyAlignment="1">
      <alignment/>
    </xf>
    <xf numFmtId="190" fontId="0" fillId="0" borderId="0" xfId="42" applyFon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190" fontId="0" fillId="0" borderId="0" xfId="42" applyFont="1" applyFill="1" applyBorder="1" applyAlignment="1" applyProtection="1">
      <alignment/>
      <protection hidden="1"/>
    </xf>
    <xf numFmtId="190" fontId="17" fillId="41" borderId="11" xfId="42" applyFont="1" applyFill="1" applyBorder="1" applyAlignment="1" applyProtection="1">
      <alignment/>
      <protection hidden="1" locked="0"/>
    </xf>
    <xf numFmtId="172" fontId="17" fillId="41" borderId="12" xfId="45" applyNumberFormat="1" applyFont="1" applyFill="1" applyBorder="1" applyAlignment="1" applyProtection="1">
      <alignment/>
      <protection hidden="1"/>
    </xf>
    <xf numFmtId="190" fontId="17" fillId="41" borderId="14" xfId="42" applyFont="1" applyFill="1" applyBorder="1" applyAlignment="1" applyProtection="1">
      <alignment/>
      <protection hidden="1" locked="0"/>
    </xf>
    <xf numFmtId="187" fontId="2" fillId="0" borderId="40" xfId="0" applyNumberFormat="1" applyFont="1" applyFill="1" applyBorder="1" applyAlignment="1" applyProtection="1">
      <alignment/>
      <protection hidden="1"/>
    </xf>
    <xf numFmtId="187" fontId="2" fillId="0" borderId="0" xfId="0" applyNumberFormat="1" applyFont="1" applyFill="1" applyBorder="1" applyAlignment="1" applyProtection="1">
      <alignment/>
      <protection hidden="1"/>
    </xf>
    <xf numFmtId="172" fontId="17" fillId="41" borderId="48" xfId="45" applyNumberFormat="1" applyFont="1" applyFill="1" applyBorder="1" applyAlignment="1" applyProtection="1">
      <alignment/>
      <protection hidden="1" locked="0"/>
    </xf>
    <xf numFmtId="0" fontId="17" fillId="41" borderId="22" xfId="45" applyNumberFormat="1" applyFont="1" applyFill="1" applyBorder="1" applyAlignment="1">
      <alignment horizontal="center"/>
    </xf>
    <xf numFmtId="0" fontId="0" fillId="36" borderId="22" xfId="0" applyFont="1" applyFill="1" applyBorder="1" applyAlignment="1" applyProtection="1">
      <alignment/>
      <protection/>
    </xf>
    <xf numFmtId="196" fontId="0" fillId="36" borderId="22" xfId="42" applyNumberFormat="1" applyFont="1" applyFill="1" applyBorder="1" applyAlignment="1">
      <alignment horizontal="right"/>
    </xf>
    <xf numFmtId="190" fontId="0" fillId="36" borderId="22" xfId="42" applyFont="1" applyFill="1" applyBorder="1" applyAlignment="1" applyProtection="1">
      <alignment/>
      <protection locked="0"/>
    </xf>
    <xf numFmtId="187" fontId="0" fillId="36" borderId="22" xfId="42" applyNumberFormat="1" applyFont="1" applyFill="1" applyBorder="1" applyAlignment="1">
      <alignment horizontal="right"/>
    </xf>
    <xf numFmtId="0" fontId="18" fillId="42" borderId="49" xfId="0" applyFont="1" applyFill="1" applyBorder="1" applyAlignment="1">
      <alignment/>
    </xf>
    <xf numFmtId="0" fontId="0" fillId="43" borderId="50" xfId="0" applyFill="1" applyBorder="1" applyAlignment="1">
      <alignment/>
    </xf>
    <xf numFmtId="0" fontId="0" fillId="43" borderId="51" xfId="0" applyFill="1" applyBorder="1" applyAlignment="1">
      <alignment/>
    </xf>
    <xf numFmtId="0" fontId="0" fillId="43" borderId="52" xfId="0" applyFill="1" applyBorder="1" applyAlignment="1">
      <alignment/>
    </xf>
    <xf numFmtId="0" fontId="19" fillId="44" borderId="0" xfId="0" applyFont="1" applyFill="1" applyBorder="1" applyAlignment="1">
      <alignment/>
    </xf>
    <xf numFmtId="0" fontId="0" fillId="43" borderId="53" xfId="0" applyFill="1" applyBorder="1" applyAlignment="1">
      <alignment/>
    </xf>
    <xf numFmtId="0" fontId="19" fillId="45" borderId="54" xfId="0" applyFont="1" applyFill="1" applyBorder="1" applyAlignment="1">
      <alignment/>
    </xf>
    <xf numFmtId="0" fontId="19" fillId="0" borderId="55" xfId="0" applyFont="1" applyBorder="1" applyAlignment="1">
      <alignment horizontal="center"/>
    </xf>
    <xf numFmtId="4" fontId="19" fillId="0" borderId="55" xfId="0" applyNumberFormat="1" applyFont="1" applyFill="1" applyBorder="1" applyAlignment="1">
      <alignment/>
    </xf>
    <xf numFmtId="0" fontId="19" fillId="44" borderId="0" xfId="0" applyFont="1" applyFill="1" applyBorder="1" applyAlignment="1">
      <alignment/>
    </xf>
    <xf numFmtId="0" fontId="19" fillId="44" borderId="56" xfId="0" applyFont="1" applyFill="1" applyBorder="1" applyAlignment="1">
      <alignment/>
    </xf>
    <xf numFmtId="4" fontId="20" fillId="0" borderId="55" xfId="0" applyNumberFormat="1" applyFont="1" applyFill="1" applyBorder="1" applyAlignment="1">
      <alignment/>
    </xf>
    <xf numFmtId="0" fontId="19" fillId="42" borderId="57" xfId="0" applyFont="1" applyFill="1" applyBorder="1" applyAlignment="1">
      <alignment/>
    </xf>
    <xf numFmtId="0" fontId="20" fillId="0" borderId="55" xfId="0" applyFont="1" applyFill="1" applyBorder="1" applyAlignment="1">
      <alignment horizontal="center"/>
    </xf>
    <xf numFmtId="0" fontId="19" fillId="45" borderId="58" xfId="0" applyFont="1" applyFill="1" applyBorder="1" applyAlignment="1">
      <alignment/>
    </xf>
    <xf numFmtId="0" fontId="19" fillId="0" borderId="59" xfId="0" applyFont="1" applyBorder="1" applyAlignment="1">
      <alignment horizontal="center"/>
    </xf>
    <xf numFmtId="0" fontId="19" fillId="42" borderId="60" xfId="0" applyFont="1" applyFill="1" applyBorder="1" applyAlignment="1">
      <alignment/>
    </xf>
    <xf numFmtId="0" fontId="20" fillId="0" borderId="59" xfId="0" applyFont="1" applyFill="1" applyBorder="1" applyAlignment="1">
      <alignment horizontal="center"/>
    </xf>
    <xf numFmtId="0" fontId="20" fillId="0" borderId="61" xfId="0" applyFont="1" applyFill="1" applyBorder="1" applyAlignment="1">
      <alignment horizontal="center"/>
    </xf>
    <xf numFmtId="0" fontId="20" fillId="44" borderId="62" xfId="0" applyFont="1" applyFill="1" applyBorder="1" applyAlignment="1">
      <alignment/>
    </xf>
    <xf numFmtId="0" fontId="20" fillId="44" borderId="51" xfId="0" applyFont="1" applyFill="1" applyBorder="1" applyAlignment="1">
      <alignment/>
    </xf>
    <xf numFmtId="0" fontId="0" fillId="44" borderId="51" xfId="0" applyFill="1" applyBorder="1" applyAlignment="1">
      <alignment/>
    </xf>
    <xf numFmtId="0" fontId="0" fillId="44" borderId="0" xfId="0" applyFill="1" applyBorder="1" applyAlignment="1">
      <alignment/>
    </xf>
    <xf numFmtId="0" fontId="20" fillId="44" borderId="0" xfId="0" applyFont="1" applyFill="1" applyBorder="1" applyAlignment="1">
      <alignment/>
    </xf>
    <xf numFmtId="0" fontId="22" fillId="42" borderId="63" xfId="0" applyFont="1" applyFill="1" applyBorder="1" applyAlignment="1">
      <alignment/>
    </xf>
    <xf numFmtId="0" fontId="20" fillId="43" borderId="0" xfId="0" applyFont="1" applyFill="1" applyBorder="1" applyAlignment="1">
      <alignment/>
    </xf>
    <xf numFmtId="0" fontId="0" fillId="43" borderId="0" xfId="0" applyFill="1" applyAlignment="1">
      <alignment/>
    </xf>
    <xf numFmtId="0" fontId="0" fillId="43" borderId="0" xfId="0" applyFill="1" applyBorder="1" applyAlignment="1">
      <alignment/>
    </xf>
    <xf numFmtId="0" fontId="19" fillId="46" borderId="54" xfId="0" applyFont="1" applyFill="1" applyBorder="1" applyAlignment="1">
      <alignment/>
    </xf>
    <xf numFmtId="0" fontId="19" fillId="46" borderId="58" xfId="0" applyFont="1" applyFill="1" applyBorder="1" applyAlignment="1">
      <alignment/>
    </xf>
    <xf numFmtId="0" fontId="0" fillId="43" borderId="64" xfId="0" applyFill="1" applyBorder="1" applyAlignment="1">
      <alignment/>
    </xf>
    <xf numFmtId="0" fontId="0" fillId="43" borderId="65" xfId="0" applyFill="1" applyBorder="1" applyAlignment="1">
      <alignment/>
    </xf>
    <xf numFmtId="0" fontId="0" fillId="43" borderId="66" xfId="0" applyFill="1" applyBorder="1" applyAlignment="1">
      <alignment/>
    </xf>
    <xf numFmtId="0" fontId="25" fillId="42" borderId="67" xfId="0" applyFont="1" applyFill="1" applyBorder="1" applyAlignment="1">
      <alignment/>
    </xf>
    <xf numFmtId="4" fontId="25" fillId="0" borderId="67" xfId="0" applyNumberFormat="1" applyFont="1" applyBorder="1" applyAlignment="1">
      <alignment/>
    </xf>
    <xf numFmtId="0" fontId="0" fillId="47" borderId="68" xfId="0" applyFill="1" applyBorder="1" applyAlignment="1">
      <alignment/>
    </xf>
    <xf numFmtId="0" fontId="19" fillId="42" borderId="69" xfId="0" applyFont="1" applyFill="1" applyBorder="1" applyAlignment="1">
      <alignment/>
    </xf>
    <xf numFmtId="0" fontId="19" fillId="42" borderId="55" xfId="0" applyFont="1" applyFill="1" applyBorder="1" applyAlignment="1">
      <alignment/>
    </xf>
    <xf numFmtId="0" fontId="19" fillId="47" borderId="0" xfId="0" applyFont="1" applyFill="1" applyBorder="1" applyAlignment="1">
      <alignment/>
    </xf>
    <xf numFmtId="0" fontId="19" fillId="47" borderId="0" xfId="0" applyFont="1" applyFill="1" applyAlignment="1">
      <alignment/>
    </xf>
    <xf numFmtId="0" fontId="0" fillId="47" borderId="70" xfId="0" applyFill="1" applyBorder="1" applyAlignment="1">
      <alignment/>
    </xf>
    <xf numFmtId="4" fontId="19" fillId="0" borderId="71" xfId="0" applyNumberFormat="1" applyFont="1" applyBorder="1" applyAlignment="1">
      <alignment/>
    </xf>
    <xf numFmtId="4" fontId="19" fillId="0" borderId="59" xfId="0" applyNumberFormat="1" applyFont="1" applyBorder="1" applyAlignment="1">
      <alignment/>
    </xf>
    <xf numFmtId="9" fontId="19" fillId="0" borderId="59" xfId="0" applyNumberFormat="1" applyFont="1" applyBorder="1" applyAlignment="1">
      <alignment horizontal="center"/>
    </xf>
    <xf numFmtId="4" fontId="19" fillId="0" borderId="72" xfId="0" applyNumberFormat="1" applyFont="1" applyBorder="1" applyAlignment="1">
      <alignment/>
    </xf>
    <xf numFmtId="4" fontId="19" fillId="0" borderId="73" xfId="0" applyNumberFormat="1" applyFont="1" applyBorder="1" applyAlignment="1">
      <alignment/>
    </xf>
    <xf numFmtId="9" fontId="19" fillId="0" borderId="73" xfId="0" applyNumberFormat="1" applyFont="1" applyBorder="1" applyAlignment="1">
      <alignment horizontal="center"/>
    </xf>
    <xf numFmtId="4" fontId="19" fillId="0" borderId="74" xfId="0" applyNumberFormat="1" applyFont="1" applyBorder="1" applyAlignment="1">
      <alignment/>
    </xf>
    <xf numFmtId="4" fontId="19" fillId="0" borderId="75" xfId="0" applyNumberFormat="1" applyFont="1" applyBorder="1" applyAlignment="1">
      <alignment/>
    </xf>
    <xf numFmtId="9" fontId="19" fillId="0" borderId="75" xfId="0" applyNumberFormat="1" applyFont="1" applyBorder="1" applyAlignment="1">
      <alignment horizontal="center"/>
    </xf>
    <xf numFmtId="0" fontId="19" fillId="0" borderId="75" xfId="0" applyFont="1" applyBorder="1" applyAlignment="1">
      <alignment/>
    </xf>
    <xf numFmtId="0" fontId="19" fillId="47" borderId="76" xfId="0" applyFont="1" applyFill="1" applyBorder="1" applyAlignment="1">
      <alignment/>
    </xf>
    <xf numFmtId="0" fontId="19" fillId="42" borderId="69" xfId="0" applyFont="1" applyFill="1" applyBorder="1" applyAlignment="1">
      <alignment/>
    </xf>
    <xf numFmtId="0" fontId="19" fillId="42" borderId="55" xfId="0" applyFont="1" applyFill="1" applyBorder="1" applyAlignment="1">
      <alignment wrapText="1"/>
    </xf>
    <xf numFmtId="0" fontId="19" fillId="47" borderId="77" xfId="0" applyFont="1" applyFill="1" applyBorder="1" applyAlignment="1">
      <alignment/>
    </xf>
    <xf numFmtId="4" fontId="19" fillId="0" borderId="71" xfId="0" applyNumberFormat="1" applyFont="1" applyBorder="1" applyAlignment="1">
      <alignment horizontal="center"/>
    </xf>
    <xf numFmtId="4" fontId="19" fillId="0" borderId="59" xfId="0" applyNumberFormat="1" applyFont="1" applyBorder="1" applyAlignment="1">
      <alignment horizontal="center"/>
    </xf>
    <xf numFmtId="4" fontId="25" fillId="0" borderId="57" xfId="0" applyNumberFormat="1" applyFont="1" applyBorder="1" applyAlignment="1">
      <alignment/>
    </xf>
    <xf numFmtId="4" fontId="25" fillId="0" borderId="55" xfId="0" applyNumberFormat="1" applyFont="1" applyBorder="1" applyAlignment="1">
      <alignment/>
    </xf>
    <xf numFmtId="4" fontId="19" fillId="0" borderId="72" xfId="0" applyNumberFormat="1" applyFont="1" applyBorder="1" applyAlignment="1">
      <alignment horizontal="center"/>
    </xf>
    <xf numFmtId="4" fontId="19" fillId="0" borderId="73" xfId="0" applyNumberFormat="1" applyFont="1" applyBorder="1" applyAlignment="1">
      <alignment horizontal="center"/>
    </xf>
    <xf numFmtId="0" fontId="19" fillId="0" borderId="73" xfId="0" applyFont="1" applyBorder="1" applyAlignment="1">
      <alignment horizontal="center"/>
    </xf>
    <xf numFmtId="0" fontId="19" fillId="0" borderId="73" xfId="0" applyFont="1" applyBorder="1" applyAlignment="1">
      <alignment/>
    </xf>
    <xf numFmtId="4" fontId="25" fillId="0" borderId="62" xfId="0" applyNumberFormat="1" applyFont="1" applyBorder="1" applyAlignment="1">
      <alignment/>
    </xf>
    <xf numFmtId="4" fontId="26" fillId="0" borderId="78" xfId="0" applyNumberFormat="1" applyFont="1" applyBorder="1" applyAlignment="1">
      <alignment/>
    </xf>
    <xf numFmtId="4" fontId="19" fillId="0" borderId="74" xfId="0" applyNumberFormat="1" applyFont="1" applyBorder="1" applyAlignment="1">
      <alignment horizontal="center"/>
    </xf>
    <xf numFmtId="4" fontId="19" fillId="0" borderId="75" xfId="0" applyNumberFormat="1" applyFont="1" applyBorder="1" applyAlignment="1">
      <alignment horizontal="center"/>
    </xf>
    <xf numFmtId="0" fontId="19" fillId="0" borderId="75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42" borderId="55" xfId="0" applyFont="1" applyFill="1" applyBorder="1" applyAlignment="1">
      <alignment/>
    </xf>
    <xf numFmtId="4" fontId="19" fillId="44" borderId="55" xfId="0" applyNumberFormat="1" applyFont="1" applyFill="1" applyBorder="1" applyAlignment="1">
      <alignment horizontal="center"/>
    </xf>
    <xf numFmtId="0" fontId="19" fillId="0" borderId="71" xfId="0" applyFont="1" applyBorder="1" applyAlignment="1">
      <alignment/>
    </xf>
    <xf numFmtId="0" fontId="19" fillId="44" borderId="59" xfId="0" applyFont="1" applyFill="1" applyBorder="1" applyAlignment="1">
      <alignment horizontal="center"/>
    </xf>
    <xf numFmtId="4" fontId="19" fillId="48" borderId="55" xfId="0" applyNumberFormat="1" applyFont="1" applyFill="1" applyBorder="1" applyAlignment="1">
      <alignment/>
    </xf>
    <xf numFmtId="207" fontId="19" fillId="44" borderId="55" xfId="0" applyNumberFormat="1" applyFont="1" applyFill="1" applyBorder="1" applyAlignment="1">
      <alignment horizontal="center"/>
    </xf>
    <xf numFmtId="0" fontId="19" fillId="0" borderId="74" xfId="0" applyFont="1" applyBorder="1" applyAlignment="1">
      <alignment/>
    </xf>
    <xf numFmtId="0" fontId="19" fillId="44" borderId="75" xfId="0" applyFont="1" applyFill="1" applyBorder="1" applyAlignment="1">
      <alignment horizontal="center"/>
    </xf>
    <xf numFmtId="4" fontId="19" fillId="0" borderId="55" xfId="0" applyNumberFormat="1" applyFont="1" applyBorder="1" applyAlignment="1">
      <alignment/>
    </xf>
    <xf numFmtId="4" fontId="19" fillId="49" borderId="55" xfId="0" applyNumberFormat="1" applyFont="1" applyFill="1" applyBorder="1" applyAlignment="1">
      <alignment horizontal="center"/>
    </xf>
    <xf numFmtId="0" fontId="19" fillId="0" borderId="79" xfId="0" applyFont="1" applyBorder="1" applyAlignment="1">
      <alignment/>
    </xf>
    <xf numFmtId="4" fontId="19" fillId="0" borderId="80" xfId="0" applyNumberFormat="1" applyFont="1" applyBorder="1" applyAlignment="1">
      <alignment/>
    </xf>
    <xf numFmtId="0" fontId="19" fillId="44" borderId="55" xfId="0" applyFont="1" applyFill="1" applyBorder="1" applyAlignment="1">
      <alignment/>
    </xf>
    <xf numFmtId="4" fontId="25" fillId="48" borderId="55" xfId="0" applyNumberFormat="1" applyFont="1" applyFill="1" applyBorder="1" applyAlignment="1">
      <alignment/>
    </xf>
    <xf numFmtId="4" fontId="19" fillId="50" borderId="55" xfId="0" applyNumberFormat="1" applyFont="1" applyFill="1" applyBorder="1" applyAlignment="1">
      <alignment horizontal="center"/>
    </xf>
    <xf numFmtId="0" fontId="19" fillId="44" borderId="55" xfId="0" applyFont="1" applyFill="1" applyBorder="1" applyAlignment="1">
      <alignment horizontal="center"/>
    </xf>
    <xf numFmtId="207" fontId="19" fillId="50" borderId="55" xfId="0" applyNumberFormat="1" applyFont="1" applyFill="1" applyBorder="1" applyAlignment="1">
      <alignment horizontal="center"/>
    </xf>
    <xf numFmtId="4" fontId="19" fillId="48" borderId="55" xfId="0" applyNumberFormat="1" applyFont="1" applyFill="1" applyBorder="1" applyAlignment="1">
      <alignment horizontal="center"/>
    </xf>
    <xf numFmtId="0" fontId="19" fillId="0" borderId="80" xfId="0" applyFont="1" applyBorder="1" applyAlignment="1">
      <alignment/>
    </xf>
    <xf numFmtId="0" fontId="19" fillId="0" borderId="81" xfId="0" applyFont="1" applyBorder="1" applyAlignment="1">
      <alignment horizontal="center"/>
    </xf>
    <xf numFmtId="4" fontId="25" fillId="0" borderId="59" xfId="0" applyNumberFormat="1" applyFont="1" applyFill="1" applyBorder="1" applyAlignment="1">
      <alignment/>
    </xf>
    <xf numFmtId="4" fontId="19" fillId="47" borderId="0" xfId="0" applyNumberFormat="1" applyFont="1" applyFill="1" applyBorder="1" applyAlignment="1">
      <alignment horizontal="center"/>
    </xf>
    <xf numFmtId="4" fontId="25" fillId="47" borderId="77" xfId="0" applyNumberFormat="1" applyFont="1" applyFill="1" applyBorder="1" applyAlignment="1">
      <alignment/>
    </xf>
    <xf numFmtId="0" fontId="19" fillId="47" borderId="82" xfId="0" applyFont="1" applyFill="1" applyBorder="1" applyAlignment="1">
      <alignment/>
    </xf>
    <xf numFmtId="0" fontId="0" fillId="47" borderId="83" xfId="0" applyFill="1" applyBorder="1" applyAlignment="1">
      <alignment/>
    </xf>
    <xf numFmtId="4" fontId="25" fillId="47" borderId="0" xfId="0" applyNumberFormat="1" applyFont="1" applyFill="1" applyBorder="1" applyAlignment="1">
      <alignment/>
    </xf>
    <xf numFmtId="4" fontId="25" fillId="0" borderId="59" xfId="0" applyNumberFormat="1" applyFont="1" applyBorder="1" applyAlignment="1">
      <alignment/>
    </xf>
    <xf numFmtId="4" fontId="25" fillId="0" borderId="73" xfId="0" applyNumberFormat="1" applyFont="1" applyBorder="1" applyAlignment="1">
      <alignment/>
    </xf>
    <xf numFmtId="4" fontId="25" fillId="0" borderId="75" xfId="0" applyNumberFormat="1" applyFont="1" applyBorder="1" applyAlignment="1">
      <alignment/>
    </xf>
    <xf numFmtId="4" fontId="19" fillId="0" borderId="71" xfId="0" applyNumberFormat="1" applyFont="1" applyFill="1" applyBorder="1" applyAlignment="1">
      <alignment/>
    </xf>
    <xf numFmtId="4" fontId="19" fillId="0" borderId="59" xfId="0" applyNumberFormat="1" applyFont="1" applyFill="1" applyBorder="1" applyAlignment="1">
      <alignment/>
    </xf>
    <xf numFmtId="2" fontId="19" fillId="0" borderId="59" xfId="0" applyNumberFormat="1" applyFont="1" applyBorder="1" applyAlignment="1">
      <alignment/>
    </xf>
    <xf numFmtId="4" fontId="19" fillId="0" borderId="72" xfId="0" applyNumberFormat="1" applyFont="1" applyFill="1" applyBorder="1" applyAlignment="1">
      <alignment/>
    </xf>
    <xf numFmtId="4" fontId="19" fillId="0" borderId="73" xfId="0" applyNumberFormat="1" applyFont="1" applyFill="1" applyBorder="1" applyAlignment="1">
      <alignment/>
    </xf>
    <xf numFmtId="2" fontId="19" fillId="0" borderId="73" xfId="0" applyNumberFormat="1" applyFont="1" applyBorder="1" applyAlignment="1">
      <alignment/>
    </xf>
    <xf numFmtId="2" fontId="25" fillId="0" borderId="73" xfId="0" applyNumberFormat="1" applyFont="1" applyBorder="1" applyAlignment="1">
      <alignment/>
    </xf>
    <xf numFmtId="4" fontId="19" fillId="0" borderId="74" xfId="0" applyNumberFormat="1" applyFont="1" applyFill="1" applyBorder="1" applyAlignment="1">
      <alignment/>
    </xf>
    <xf numFmtId="4" fontId="19" fillId="0" borderId="75" xfId="0" applyNumberFormat="1" applyFont="1" applyFill="1" applyBorder="1" applyAlignment="1">
      <alignment/>
    </xf>
    <xf numFmtId="2" fontId="19" fillId="0" borderId="75" xfId="0" applyNumberFormat="1" applyFont="1" applyBorder="1" applyAlignment="1">
      <alignment/>
    </xf>
    <xf numFmtId="0" fontId="19" fillId="49" borderId="69" xfId="0" applyFont="1" applyFill="1" applyBorder="1" applyAlignment="1">
      <alignment/>
    </xf>
    <xf numFmtId="0" fontId="19" fillId="49" borderId="55" xfId="0" applyFont="1" applyFill="1" applyBorder="1" applyAlignment="1">
      <alignment/>
    </xf>
    <xf numFmtId="4" fontId="19" fillId="0" borderId="69" xfId="0" applyNumberFormat="1" applyFont="1" applyBorder="1" applyAlignment="1">
      <alignment/>
    </xf>
    <xf numFmtId="4" fontId="27" fillId="0" borderId="55" xfId="0" applyNumberFormat="1" applyFont="1" applyFill="1" applyBorder="1" applyAlignment="1">
      <alignment/>
    </xf>
    <xf numFmtId="0" fontId="0" fillId="47" borderId="0" xfId="0" applyFill="1" applyAlignment="1">
      <alignment/>
    </xf>
    <xf numFmtId="0" fontId="0" fillId="47" borderId="76" xfId="0" applyFill="1" applyBorder="1" applyAlignment="1">
      <alignment/>
    </xf>
    <xf numFmtId="0" fontId="0" fillId="47" borderId="0" xfId="0" applyFill="1" applyBorder="1" applyAlignment="1">
      <alignment/>
    </xf>
    <xf numFmtId="0" fontId="0" fillId="47" borderId="84" xfId="0" applyFill="1" applyBorder="1" applyAlignment="1">
      <alignment/>
    </xf>
    <xf numFmtId="0" fontId="0" fillId="47" borderId="85" xfId="0" applyFill="1" applyBorder="1" applyAlignment="1">
      <alignment/>
    </xf>
    <xf numFmtId="0" fontId="0" fillId="47" borderId="86" xfId="0" applyFill="1" applyBorder="1" applyAlignment="1">
      <alignment/>
    </xf>
    <xf numFmtId="4" fontId="0" fillId="0" borderId="0" xfId="0" applyNumberFormat="1" applyBorder="1" applyAlignment="1">
      <alignment/>
    </xf>
    <xf numFmtId="2" fontId="25" fillId="47" borderId="0" xfId="0" applyNumberFormat="1" applyFont="1" applyFill="1" applyBorder="1" applyAlignment="1">
      <alignment/>
    </xf>
    <xf numFmtId="0" fontId="0" fillId="0" borderId="0" xfId="0" applyFill="1" applyBorder="1" applyAlignment="1" applyProtection="1">
      <alignment/>
      <protection hidden="1"/>
    </xf>
    <xf numFmtId="172" fontId="0" fillId="0" borderId="0" xfId="0" applyNumberFormat="1" applyFill="1" applyBorder="1" applyAlignment="1" applyProtection="1">
      <alignment/>
      <protection hidden="1"/>
    </xf>
    <xf numFmtId="181" fontId="0" fillId="0" borderId="0" xfId="45" applyNumberFormat="1" applyFont="1" applyFill="1" applyBorder="1" applyAlignment="1" applyProtection="1">
      <alignment/>
      <protection hidden="1"/>
    </xf>
    <xf numFmtId="194" fontId="0" fillId="0" borderId="0" xfId="42" applyNumberFormat="1" applyFont="1" applyFill="1" applyBorder="1" applyAlignment="1">
      <alignment/>
    </xf>
    <xf numFmtId="190" fontId="0" fillId="0" borderId="0" xfId="42" applyFon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3" fillId="0" borderId="0" xfId="45" applyNumberFormat="1" applyFont="1" applyFill="1" applyBorder="1" applyAlignment="1" applyProtection="1">
      <alignment/>
      <protection hidden="1"/>
    </xf>
    <xf numFmtId="41" fontId="17" fillId="0" borderId="0" xfId="0" applyNumberFormat="1" applyFont="1" applyFill="1" applyBorder="1" applyAlignment="1" applyProtection="1">
      <alignment horizontal="center"/>
      <protection hidden="1"/>
    </xf>
    <xf numFmtId="190" fontId="0" fillId="0" borderId="0" xfId="0" applyNumberFormat="1" applyFill="1" applyBorder="1" applyAlignment="1" applyProtection="1">
      <alignment/>
      <protection hidden="1"/>
    </xf>
    <xf numFmtId="2" fontId="19" fillId="47" borderId="87" xfId="0" applyNumberFormat="1" applyFont="1" applyFill="1" applyBorder="1" applyAlignment="1">
      <alignment/>
    </xf>
    <xf numFmtId="0" fontId="0" fillId="33" borderId="26" xfId="0" applyFill="1" applyBorder="1" applyAlignment="1" applyProtection="1">
      <alignment/>
      <protection hidden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172" fontId="1" fillId="0" borderId="0" xfId="0" applyNumberFormat="1" applyFont="1" applyFill="1" applyBorder="1" applyAlignment="1" applyProtection="1">
      <alignment/>
      <protection hidden="1"/>
    </xf>
    <xf numFmtId="172" fontId="1" fillId="0" borderId="0" xfId="0" applyNumberFormat="1" applyFont="1" applyFill="1" applyBorder="1" applyAlignment="1">
      <alignment/>
    </xf>
    <xf numFmtId="41" fontId="0" fillId="0" borderId="0" xfId="45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72" fontId="0" fillId="0" borderId="0" xfId="45" applyNumberFormat="1" applyFont="1" applyFill="1" applyBorder="1" applyAlignment="1" applyProtection="1">
      <alignment/>
      <protection locked="0"/>
    </xf>
    <xf numFmtId="10" fontId="0" fillId="0" borderId="0" xfId="0" applyNumberForma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"/>
      <protection hidden="1"/>
    </xf>
    <xf numFmtId="41" fontId="0" fillId="0" borderId="0" xfId="45" applyFont="1" applyFill="1" applyBorder="1" applyAlignment="1" applyProtection="1">
      <alignment/>
      <protection hidden="1"/>
    </xf>
    <xf numFmtId="9" fontId="0" fillId="0" borderId="0" xfId="0" applyNumberFormat="1" applyFill="1" applyBorder="1" applyAlignment="1">
      <alignment/>
    </xf>
    <xf numFmtId="172" fontId="0" fillId="0" borderId="0" xfId="45" applyNumberFormat="1" applyFont="1" applyFill="1" applyBorder="1" applyAlignment="1">
      <alignment/>
    </xf>
    <xf numFmtId="41" fontId="0" fillId="0" borderId="0" xfId="45" applyFont="1" applyFill="1" applyBorder="1" applyAlignment="1">
      <alignment horizontal="center"/>
    </xf>
    <xf numFmtId="172" fontId="0" fillId="0" borderId="0" xfId="45" applyNumberFormat="1" applyFont="1" applyFill="1" applyBorder="1" applyAlignment="1" applyProtection="1">
      <alignment horizontal="center"/>
      <protection hidden="1"/>
    </xf>
    <xf numFmtId="4" fontId="19" fillId="47" borderId="0" xfId="0" applyNumberFormat="1" applyFont="1" applyFill="1" applyBorder="1" applyAlignment="1">
      <alignment/>
    </xf>
    <xf numFmtId="2" fontId="0" fillId="33" borderId="14" xfId="0" applyNumberFormat="1" applyFill="1" applyBorder="1" applyAlignment="1" applyProtection="1">
      <alignment/>
      <protection hidden="1"/>
    </xf>
    <xf numFmtId="172" fontId="0" fillId="33" borderId="14" xfId="45" applyNumberFormat="1" applyFont="1" applyFill="1" applyBorder="1" applyAlignment="1" applyProtection="1">
      <alignment/>
      <protection hidden="1"/>
    </xf>
    <xf numFmtId="41" fontId="0" fillId="33" borderId="0" xfId="45" applyFont="1" applyFill="1" applyBorder="1" applyAlignment="1" applyProtection="1">
      <alignment/>
      <protection hidden="1" locked="0"/>
    </xf>
    <xf numFmtId="41" fontId="0" fillId="33" borderId="0" xfId="45" applyFont="1" applyFill="1" applyBorder="1" applyAlignment="1" applyProtection="1">
      <alignment/>
      <protection hidden="1"/>
    </xf>
    <xf numFmtId="41" fontId="0" fillId="33" borderId="88" xfId="45" applyFont="1" applyFill="1" applyBorder="1" applyAlignment="1" applyProtection="1">
      <alignment/>
      <protection hidden="1" locked="0"/>
    </xf>
    <xf numFmtId="190" fontId="0" fillId="33" borderId="27" xfId="42" applyFont="1" applyFill="1" applyBorder="1" applyAlignment="1" applyProtection="1">
      <alignment/>
      <protection hidden="1" locked="0"/>
    </xf>
    <xf numFmtId="190" fontId="0" fillId="33" borderId="14" xfId="42" applyFont="1" applyFill="1" applyBorder="1" applyAlignment="1" applyProtection="1">
      <alignment/>
      <protection hidden="1" locked="0"/>
    </xf>
    <xf numFmtId="190" fontId="0" fillId="33" borderId="14" xfId="42" applyFont="1" applyFill="1" applyBorder="1" applyAlignment="1" applyProtection="1">
      <alignment/>
      <protection hidden="1"/>
    </xf>
    <xf numFmtId="190" fontId="0" fillId="35" borderId="14" xfId="42" applyFont="1" applyFill="1" applyBorder="1" applyAlignment="1" applyProtection="1">
      <alignment/>
      <protection hidden="1"/>
    </xf>
    <xf numFmtId="190" fontId="0" fillId="35" borderId="37" xfId="42" applyFont="1" applyFill="1" applyBorder="1" applyAlignment="1" applyProtection="1">
      <alignment/>
      <protection hidden="1"/>
    </xf>
    <xf numFmtId="190" fontId="0" fillId="35" borderId="27" xfId="42" applyFont="1" applyFill="1" applyBorder="1" applyAlignment="1" applyProtection="1">
      <alignment/>
      <protection hidden="1"/>
    </xf>
    <xf numFmtId="172" fontId="0" fillId="35" borderId="0" xfId="45" applyNumberFormat="1" applyFont="1" applyFill="1" applyBorder="1" applyAlignment="1" applyProtection="1">
      <alignment/>
      <protection hidden="1" locked="0"/>
    </xf>
    <xf numFmtId="10" fontId="0" fillId="33" borderId="11" xfId="0" applyNumberFormat="1" applyFill="1" applyBorder="1" applyAlignment="1" applyProtection="1">
      <alignment/>
      <protection hidden="1" locked="0"/>
    </xf>
    <xf numFmtId="0" fontId="19" fillId="42" borderId="55" xfId="0" applyFont="1" applyFill="1" applyBorder="1" applyAlignment="1">
      <alignment/>
    </xf>
    <xf numFmtId="0" fontId="25" fillId="42" borderId="74" xfId="0" applyFont="1" applyFill="1" applyBorder="1" applyAlignment="1">
      <alignment/>
    </xf>
    <xf numFmtId="0" fontId="0" fillId="42" borderId="55" xfId="0" applyFont="1" applyFill="1" applyBorder="1" applyAlignment="1">
      <alignment/>
    </xf>
    <xf numFmtId="0" fontId="25" fillId="42" borderId="55" xfId="0" applyFont="1" applyFill="1" applyBorder="1" applyAlignment="1">
      <alignment/>
    </xf>
    <xf numFmtId="0" fontId="19" fillId="47" borderId="77" xfId="0" applyFont="1" applyFill="1" applyBorder="1" applyAlignment="1">
      <alignment/>
    </xf>
    <xf numFmtId="0" fontId="19" fillId="42" borderId="69" xfId="0" applyFont="1" applyFill="1" applyBorder="1" applyAlignment="1">
      <alignment/>
    </xf>
    <xf numFmtId="0" fontId="19" fillId="42" borderId="89" xfId="0" applyFont="1" applyFill="1" applyBorder="1" applyAlignment="1">
      <alignment/>
    </xf>
    <xf numFmtId="0" fontId="19" fillId="42" borderId="71" xfId="0" applyFont="1" applyFill="1" applyBorder="1" applyAlignment="1">
      <alignment/>
    </xf>
    <xf numFmtId="4" fontId="20" fillId="0" borderId="59" xfId="0" applyNumberFormat="1" applyFont="1" applyFill="1" applyBorder="1" applyAlignment="1">
      <alignment/>
    </xf>
    <xf numFmtId="4" fontId="20" fillId="0" borderId="55" xfId="0" applyNumberFormat="1" applyFont="1" applyFill="1" applyBorder="1" applyAlignment="1">
      <alignment/>
    </xf>
    <xf numFmtId="0" fontId="20" fillId="43" borderId="78" xfId="0" applyFont="1" applyFill="1" applyBorder="1" applyAlignment="1">
      <alignment/>
    </xf>
    <xf numFmtId="0" fontId="19" fillId="46" borderId="55" xfId="0" applyFont="1" applyFill="1" applyBorder="1" applyAlignment="1">
      <alignment/>
    </xf>
    <xf numFmtId="0" fontId="19" fillId="45" borderId="59" xfId="0" applyFont="1" applyFill="1" applyBorder="1" applyAlignment="1">
      <alignment/>
    </xf>
    <xf numFmtId="4" fontId="21" fillId="0" borderId="55" xfId="0" applyNumberFormat="1" applyFont="1" applyFill="1" applyBorder="1" applyAlignment="1">
      <alignment/>
    </xf>
    <xf numFmtId="0" fontId="19" fillId="44" borderId="90" xfId="0" applyFont="1" applyFill="1" applyBorder="1" applyAlignment="1">
      <alignment/>
    </xf>
    <xf numFmtId="0" fontId="19" fillId="44" borderId="91" xfId="0" applyFont="1" applyFill="1" applyBorder="1" applyAlignment="1">
      <alignment/>
    </xf>
    <xf numFmtId="0" fontId="19" fillId="45" borderId="75" xfId="0" applyFont="1" applyFill="1" applyBorder="1" applyAlignment="1">
      <alignment/>
    </xf>
    <xf numFmtId="0" fontId="19" fillId="45" borderId="55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74"/>
          <c:y val="0.05375"/>
          <c:w val="0.42425"/>
          <c:h val="0.78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'costi annuali'!$B$3:$D$3</c:f>
              <c:strCache/>
            </c:strRef>
          </c:cat>
          <c:val>
            <c:numRef>
              <c:f>'costi annuali'!$B$4:$D$4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725"/>
          <c:y val="0.33875"/>
          <c:w val="0.32275"/>
          <c:h val="0.3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4</xdr:col>
      <xdr:colOff>0</xdr:colOff>
      <xdr:row>16</xdr:row>
      <xdr:rowOff>76200</xdr:rowOff>
    </xdr:to>
    <xdr:graphicFrame>
      <xdr:nvGraphicFramePr>
        <xdr:cNvPr id="1" name="Chart 4"/>
        <xdr:cNvGraphicFramePr/>
      </xdr:nvGraphicFramePr>
      <xdr:xfrm>
        <a:off x="0" y="809625"/>
        <a:ext cx="336232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showGridLines="0" tabSelected="1" zoomScale="80" zoomScaleNormal="80" zoomScalePageLayoutView="0" workbookViewId="0" topLeftCell="A1">
      <selection activeCell="F29" sqref="F29"/>
    </sheetView>
  </sheetViews>
  <sheetFormatPr defaultColWidth="9.140625" defaultRowHeight="12.75"/>
  <cols>
    <col min="1" max="1" width="4.140625" style="0" customWidth="1"/>
    <col min="2" max="2" width="23.421875" style="0" customWidth="1"/>
    <col min="3" max="3" width="19.421875" style="0" customWidth="1"/>
    <col min="4" max="4" width="18.8515625" style="0" customWidth="1"/>
    <col min="5" max="5" width="15.7109375" style="0" customWidth="1"/>
    <col min="6" max="6" width="17.7109375" style="0" customWidth="1"/>
    <col min="7" max="7" width="17.57421875" style="0" customWidth="1"/>
    <col min="8" max="8" width="11.00390625" style="0" customWidth="1"/>
    <col min="9" max="9" width="16.28125" style="0" customWidth="1"/>
    <col min="10" max="10" width="15.57421875" style="0" customWidth="1"/>
    <col min="11" max="11" width="17.8515625" style="0" customWidth="1"/>
    <col min="12" max="12" width="13.421875" style="0" customWidth="1"/>
    <col min="13" max="13" width="11.28125" style="0" customWidth="1"/>
    <col min="14" max="14" width="9.57421875" style="0" customWidth="1"/>
    <col min="15" max="15" width="11.28125" style="0" customWidth="1"/>
  </cols>
  <sheetData>
    <row r="1" spans="2:7" ht="24" customHeight="1" thickBot="1" thickTop="1">
      <c r="B1" s="134"/>
      <c r="C1" s="136" t="s">
        <v>211</v>
      </c>
      <c r="D1" s="136"/>
      <c r="E1" s="135"/>
      <c r="F1" s="135"/>
      <c r="G1" s="195" t="s">
        <v>123</v>
      </c>
    </row>
    <row r="2" spans="1:7" ht="21.75" customHeight="1" thickBot="1">
      <c r="A2" s="1"/>
      <c r="B2" s="149" t="s">
        <v>207</v>
      </c>
      <c r="C2" s="109"/>
      <c r="D2" s="109"/>
      <c r="E2" s="109"/>
      <c r="F2" s="109" t="s">
        <v>206</v>
      </c>
      <c r="G2" s="110"/>
    </row>
    <row r="3" spans="2:7" ht="13.5" thickTop="1">
      <c r="B3" s="67" t="s">
        <v>0</v>
      </c>
      <c r="C3" s="68"/>
      <c r="D3" s="12" t="s">
        <v>1</v>
      </c>
      <c r="E3" s="13" t="s">
        <v>2</v>
      </c>
      <c r="F3" s="12" t="s">
        <v>3</v>
      </c>
      <c r="G3" s="86" t="s">
        <v>4</v>
      </c>
    </row>
    <row r="4" spans="2:7" ht="16.5" thickBot="1">
      <c r="B4" s="66" t="s">
        <v>5</v>
      </c>
      <c r="C4" s="65" t="s">
        <v>125</v>
      </c>
      <c r="D4" s="14"/>
      <c r="E4" s="14"/>
      <c r="F4" s="14"/>
      <c r="G4" s="15"/>
    </row>
    <row r="5" spans="1:7" ht="13.5" thickTop="1">
      <c r="A5" s="3"/>
      <c r="B5" s="23" t="s">
        <v>6</v>
      </c>
      <c r="C5" s="185" t="s">
        <v>122</v>
      </c>
      <c r="D5" s="88" t="s">
        <v>7</v>
      </c>
      <c r="E5" s="24" t="s">
        <v>8</v>
      </c>
      <c r="F5" s="24" t="s">
        <v>9</v>
      </c>
      <c r="G5" s="25" t="s">
        <v>10</v>
      </c>
    </row>
    <row r="6" spans="2:7" ht="15.75">
      <c r="B6" s="16"/>
      <c r="C6" s="187"/>
      <c r="D6" s="216">
        <f>G33</f>
        <v>1067.8481627297535</v>
      </c>
      <c r="E6" s="150"/>
      <c r="F6" s="17">
        <v>3</v>
      </c>
      <c r="G6" s="151"/>
    </row>
    <row r="7" spans="1:7" ht="12.75">
      <c r="A7" s="3"/>
      <c r="B7" s="26" t="s">
        <v>11</v>
      </c>
      <c r="C7" s="27" t="s">
        <v>12</v>
      </c>
      <c r="D7" s="28" t="s">
        <v>13</v>
      </c>
      <c r="E7" s="28" t="s">
        <v>14</v>
      </c>
      <c r="F7" s="28" t="s">
        <v>15</v>
      </c>
      <c r="G7" s="29" t="s">
        <v>16</v>
      </c>
    </row>
    <row r="8" spans="2:7" ht="13.5" thickBot="1">
      <c r="B8" s="193">
        <f>LOOKUP(F6,RETRIBUZIONI!C2:C10,RETRIBUZIONI!D2:D10)</f>
        <v>1209</v>
      </c>
      <c r="C8" s="217"/>
      <c r="D8" s="165">
        <f>LOOKUP(F6,RETRIBUZIONI!C2:C10,RETRIBUZIONI!E2:E10)</f>
        <v>0</v>
      </c>
      <c r="E8" s="166">
        <f>LOOKUP(F6,RETRIBUZIONI!C2:C10,RETRIBUZIONI!G2:G10)</f>
        <v>6.2</v>
      </c>
      <c r="F8" s="165">
        <f>LOOKUP(F6,RETRIBUZIONI!C2:C10,RETRIBUZIONI!F2:F10)</f>
        <v>0</v>
      </c>
      <c r="G8" s="194">
        <f>SUM(B8:F8)+C6</f>
        <v>1215.2</v>
      </c>
    </row>
    <row r="9" spans="2:7" ht="13.5" thickTop="1">
      <c r="B9" s="87" t="s">
        <v>17</v>
      </c>
      <c r="C9" s="137"/>
      <c r="D9" s="89" t="str">
        <f>IF(G6=RETRIBUZIONI!B10,RETRIBUZIONI!B1,RETRIBUZIONI!B17)</f>
        <v>giorni nel mese</v>
      </c>
      <c r="E9" s="89" t="s">
        <v>18</v>
      </c>
      <c r="F9" s="89" t="s">
        <v>19</v>
      </c>
      <c r="G9" s="90" t="s">
        <v>20</v>
      </c>
    </row>
    <row r="10" spans="2:7" ht="12.75">
      <c r="B10" s="91" t="s">
        <v>21</v>
      </c>
      <c r="C10" s="137"/>
      <c r="D10" s="18">
        <v>26</v>
      </c>
      <c r="E10" s="81">
        <f>IF(G6=RETRIBUZIONI!B10,G8/RETRIBUZIONI!B2,G8/RETRIBUZIONI!C17)</f>
        <v>46.73846153846154</v>
      </c>
      <c r="F10" s="167"/>
      <c r="G10" s="380">
        <f>E10*D10</f>
        <v>1215.2</v>
      </c>
    </row>
    <row r="11" spans="2:7" ht="12.75">
      <c r="B11" s="92" t="s">
        <v>143</v>
      </c>
      <c r="C11" s="93"/>
      <c r="D11" s="18">
        <v>0</v>
      </c>
      <c r="E11" s="81">
        <f>G8/26</f>
        <v>46.73846153846154</v>
      </c>
      <c r="F11" s="167"/>
      <c r="G11" s="381">
        <f>E11*D11</f>
        <v>0</v>
      </c>
    </row>
    <row r="12" spans="2:7" ht="12.75">
      <c r="B12" s="92" t="s">
        <v>142</v>
      </c>
      <c r="C12" s="94"/>
      <c r="D12" s="18">
        <v>0</v>
      </c>
      <c r="E12" s="81">
        <f>(G8/RETRIBUZIONI!B2)+(G8/RETRIBUZIONI!B2)*50%</f>
        <v>10.536416184971099</v>
      </c>
      <c r="F12" s="167"/>
      <c r="G12" s="381">
        <f>E12*D12</f>
        <v>0</v>
      </c>
    </row>
    <row r="13" spans="2:7" ht="12.75">
      <c r="B13" s="92" t="s">
        <v>22</v>
      </c>
      <c r="C13" s="95"/>
      <c r="D13" s="18">
        <v>0</v>
      </c>
      <c r="E13" s="81">
        <f>(G8/RETRIBUZIONI!B2)+(G8/RETRIBUZIONI!B2)*20%</f>
        <v>8.429132947976878</v>
      </c>
      <c r="F13" s="167"/>
      <c r="G13" s="381">
        <f>E13*D13</f>
        <v>0</v>
      </c>
    </row>
    <row r="14" spans="2:7" ht="12.75">
      <c r="B14" s="92" t="s">
        <v>23</v>
      </c>
      <c r="C14" s="95"/>
      <c r="D14" s="18">
        <v>0</v>
      </c>
      <c r="E14" s="81">
        <f>(G8/RETRIBUZIONI!B2)+(G8/RETRIBUZIONI!B2)*30%</f>
        <v>9.131560693641617</v>
      </c>
      <c r="F14" s="167"/>
      <c r="G14" s="381">
        <f>E14*D14</f>
        <v>0</v>
      </c>
    </row>
    <row r="15" spans="2:7" ht="12.75">
      <c r="B15" s="92" t="s">
        <v>24</v>
      </c>
      <c r="C15" s="95"/>
      <c r="D15" s="18">
        <v>0</v>
      </c>
      <c r="E15" s="81">
        <f>G8/RETRIBUZIONI!B2</f>
        <v>7.024277456647399</v>
      </c>
      <c r="F15" s="379">
        <f>E15*D15</f>
        <v>0</v>
      </c>
      <c r="G15" s="381"/>
    </row>
    <row r="16" spans="2:7" ht="12.75">
      <c r="B16" s="102"/>
      <c r="C16" s="382"/>
      <c r="D16" s="103"/>
      <c r="E16" s="101"/>
      <c r="F16" s="379"/>
      <c r="G16" s="381"/>
    </row>
    <row r="17" spans="2:7" ht="12.75">
      <c r="B17" s="92" t="s">
        <v>145</v>
      </c>
      <c r="C17" s="373"/>
      <c r="D17" s="18"/>
      <c r="E17" s="19"/>
      <c r="F17" s="379"/>
      <c r="G17" s="376"/>
    </row>
    <row r="18" spans="2:7" ht="12.75">
      <c r="B18" s="92" t="s">
        <v>146</v>
      </c>
      <c r="C18" s="373"/>
      <c r="D18" s="18"/>
      <c r="E18" s="19"/>
      <c r="F18" s="379"/>
      <c r="G18" s="376"/>
    </row>
    <row r="19" spans="2:7" ht="12.75">
      <c r="B19" s="92" t="s">
        <v>209</v>
      </c>
      <c r="C19" s="168">
        <v>0</v>
      </c>
      <c r="D19" s="18"/>
      <c r="E19" s="19"/>
      <c r="F19" s="377">
        <v>0</v>
      </c>
      <c r="G19" s="381"/>
    </row>
    <row r="20" spans="2:7" ht="12.75">
      <c r="B20" s="92" t="s">
        <v>143</v>
      </c>
      <c r="C20" s="373"/>
      <c r="D20" s="18"/>
      <c r="E20" s="19"/>
      <c r="F20" s="379"/>
      <c r="G20" s="376"/>
    </row>
    <row r="21" spans="2:7" ht="12.75">
      <c r="B21" s="92" t="s">
        <v>147</v>
      </c>
      <c r="C21" s="375"/>
      <c r="D21" s="18"/>
      <c r="E21" s="19"/>
      <c r="F21" s="379"/>
      <c r="G21" s="376"/>
    </row>
    <row r="22" spans="2:7" ht="12.75">
      <c r="B22" s="353" t="s">
        <v>208</v>
      </c>
      <c r="C22" s="374"/>
      <c r="D22" s="371"/>
      <c r="E22" s="372"/>
      <c r="F22" s="378">
        <v>0</v>
      </c>
      <c r="G22" s="381"/>
    </row>
    <row r="23" spans="2:7" ht="13.5" thickBot="1">
      <c r="B23" s="92" t="s">
        <v>205</v>
      </c>
      <c r="C23" s="95"/>
      <c r="D23" s="18"/>
      <c r="E23" s="19"/>
      <c r="F23" s="379"/>
      <c r="G23" s="207">
        <v>80</v>
      </c>
    </row>
    <row r="24" spans="1:8" ht="13.5" thickTop="1">
      <c r="A24" s="5"/>
      <c r="B24" s="120" t="s">
        <v>25</v>
      </c>
      <c r="C24" s="89" t="s">
        <v>26</v>
      </c>
      <c r="D24" s="121" t="s">
        <v>27</v>
      </c>
      <c r="E24" s="89" t="s">
        <v>28</v>
      </c>
      <c r="F24" s="89" t="s">
        <v>29</v>
      </c>
      <c r="G24" s="90" t="s">
        <v>30</v>
      </c>
      <c r="H24" s="1"/>
    </row>
    <row r="25" spans="1:8" ht="12.75">
      <c r="A25" s="1"/>
      <c r="B25" s="172"/>
      <c r="C25" s="212">
        <v>0</v>
      </c>
      <c r="D25" s="173">
        <f>IF(B27&gt;B25,(B27-B25)*D27,0)</f>
        <v>2.0290500000000002</v>
      </c>
      <c r="E25" s="35">
        <v>0</v>
      </c>
      <c r="F25" s="167">
        <f>SUM(F10:F23)</f>
        <v>0</v>
      </c>
      <c r="G25" s="191">
        <f>SUM(G9:G21)-F22</f>
        <v>1215.2</v>
      </c>
      <c r="H25" s="1"/>
    </row>
    <row r="26" spans="1:8" ht="12.75">
      <c r="A26" s="3"/>
      <c r="B26" s="122" t="s">
        <v>31</v>
      </c>
      <c r="C26" s="31" t="s">
        <v>32</v>
      </c>
      <c r="D26" s="31" t="s">
        <v>33</v>
      </c>
      <c r="E26" s="31" t="s">
        <v>34</v>
      </c>
      <c r="F26" s="24" t="s">
        <v>35</v>
      </c>
      <c r="G26" s="25" t="s">
        <v>124</v>
      </c>
      <c r="H26" s="1"/>
    </row>
    <row r="27" spans="2:8" ht="12.75">
      <c r="B27" s="170">
        <f>ROUND(G25,0)</f>
        <v>1215</v>
      </c>
      <c r="C27" s="80">
        <f>ROUND(RETRIBUZIONI!A30,0)*1000</f>
        <v>0</v>
      </c>
      <c r="D27" s="383">
        <v>0.00167</v>
      </c>
      <c r="E27" s="21">
        <v>0.0919</v>
      </c>
      <c r="F27" s="189">
        <f>(B27*E27)+(B27-B25)*D27+C18</f>
        <v>113.68754999999999</v>
      </c>
      <c r="G27" s="169">
        <f>G25-F27+C21+C22</f>
        <v>1101.5124500000002</v>
      </c>
      <c r="H27" s="1"/>
    </row>
    <row r="28" spans="1:8" ht="12.75">
      <c r="A28" s="3"/>
      <c r="B28" s="26" t="s">
        <v>36</v>
      </c>
      <c r="C28" s="32" t="s">
        <v>37</v>
      </c>
      <c r="D28" s="32" t="s">
        <v>148</v>
      </c>
      <c r="E28" s="32" t="s">
        <v>144</v>
      </c>
      <c r="F28" s="32" t="s">
        <v>38</v>
      </c>
      <c r="G28" s="123" t="s">
        <v>210</v>
      </c>
      <c r="H28" s="1"/>
    </row>
    <row r="29" spans="2:8" ht="12.75">
      <c r="B29" s="124">
        <v>1.83</v>
      </c>
      <c r="C29" s="20">
        <v>1.08</v>
      </c>
      <c r="D29" s="188">
        <f>tab!D41/365*31</f>
        <v>139.6835762297534</v>
      </c>
      <c r="E29" s="173">
        <f>tab!E33/12</f>
        <v>0</v>
      </c>
      <c r="F29" s="190">
        <f>tab!G1/12-D29-E29</f>
        <v>113.66428727024663</v>
      </c>
      <c r="G29" s="213"/>
      <c r="H29" s="1"/>
    </row>
    <row r="30" spans="1:8" ht="12.75">
      <c r="A30" s="7"/>
      <c r="B30" s="26" t="s">
        <v>39</v>
      </c>
      <c r="C30" s="33" t="s">
        <v>40</v>
      </c>
      <c r="D30" s="30" t="s">
        <v>41</v>
      </c>
      <c r="E30" s="24" t="s">
        <v>42</v>
      </c>
      <c r="F30" s="24" t="s">
        <v>43</v>
      </c>
      <c r="G30" s="125" t="s">
        <v>44</v>
      </c>
      <c r="H30" s="1"/>
    </row>
    <row r="31" spans="2:8" ht="12.75">
      <c r="B31" s="174">
        <f>(B27*B33)+(B27*B33)*1%</f>
        <v>4.908600000000001</v>
      </c>
      <c r="C31" s="175">
        <f>(B27+C27)*C33</f>
        <v>352.107</v>
      </c>
      <c r="D31" s="176">
        <f>IF(D10&lt;15,0,G8*(14/12/13.5)-(B27*0.5%)+C20)</f>
        <v>98.9422839506173</v>
      </c>
      <c r="E31" s="176">
        <f>IF(D10&lt;15,0,G8/12)</f>
        <v>101.26666666666667</v>
      </c>
      <c r="F31" s="176">
        <f>IF(D10&lt;15,0,G8/12)</f>
        <v>101.26666666666667</v>
      </c>
      <c r="G31" s="177">
        <f>IF(D10&lt;15,0,(G8/22)*(B29+C29))</f>
        <v>160.7378181818182</v>
      </c>
      <c r="H31" s="1"/>
    </row>
    <row r="32" spans="1:7" ht="12.75">
      <c r="A32" s="7"/>
      <c r="B32" s="126" t="s">
        <v>45</v>
      </c>
      <c r="C32" s="34" t="s">
        <v>46</v>
      </c>
      <c r="D32" s="22" t="s">
        <v>47</v>
      </c>
      <c r="E32" s="30" t="s">
        <v>48</v>
      </c>
      <c r="F32" s="30" t="s">
        <v>49</v>
      </c>
      <c r="G32" s="127" t="s">
        <v>50</v>
      </c>
    </row>
    <row r="33" spans="2:7" ht="15.75">
      <c r="B33" s="129">
        <v>0.004</v>
      </c>
      <c r="C33" s="73">
        <f>IF(F6=RETRIBUZIONI!C2,RETRIBUZIONI!C14,RETRIBUZIONI!D14)</f>
        <v>0.2898</v>
      </c>
      <c r="D33" s="196">
        <f>G25+B31+C31+D31+E31+F31+G31</f>
        <v>2034.429035465769</v>
      </c>
      <c r="E33" s="214"/>
      <c r="F33" s="214"/>
      <c r="G33" s="215">
        <f>G25-F27-F29+E33-F33+C25-F25+G23-G29</f>
        <v>1067.8481627297535</v>
      </c>
    </row>
    <row r="34" spans="2:8" ht="12.75">
      <c r="B34" s="138"/>
      <c r="C34" s="130"/>
      <c r="D34" s="131"/>
      <c r="E34" s="132"/>
      <c r="F34" s="197"/>
      <c r="G34" s="198">
        <f>G33*RETRIBUZIONI!C16</f>
        <v>2067642.3620487398</v>
      </c>
      <c r="H34" s="128"/>
    </row>
    <row r="35" spans="2:7" ht="12.75">
      <c r="B35" s="142" t="s">
        <v>51</v>
      </c>
      <c r="C35" s="139" t="s">
        <v>52</v>
      </c>
      <c r="D35" s="140" t="s">
        <v>53</v>
      </c>
      <c r="E35" s="139" t="s">
        <v>54</v>
      </c>
      <c r="F35" s="141" t="s">
        <v>55</v>
      </c>
      <c r="G35" s="143" t="s">
        <v>56</v>
      </c>
    </row>
    <row r="36" spans="2:7" ht="13.5" customHeight="1" thickBot="1">
      <c r="B36" s="178">
        <f>D31*12</f>
        <v>1187.3074074074075</v>
      </c>
      <c r="C36" s="179">
        <f>G29*12</f>
        <v>0</v>
      </c>
      <c r="D36" s="180">
        <f>((C17*4)+D33)*12</f>
        <v>24413.14842558923</v>
      </c>
      <c r="E36" s="179">
        <f>(G25+D31+E31+F31+G31)*12</f>
        <v>20128.961225589228</v>
      </c>
      <c r="F36" s="181">
        <f>D36-G36</f>
        <v>9343.814902695023</v>
      </c>
      <c r="G36" s="182">
        <f>(G33*13)-(G29*12)+(B36-RETRIBUZIONI!B34)</f>
        <v>15069.333522894205</v>
      </c>
    </row>
    <row r="37" spans="1:6" ht="13.5" thickTop="1">
      <c r="A37" s="9"/>
      <c r="B37" s="64"/>
      <c r="C37" s="38"/>
      <c r="D37" s="64"/>
      <c r="E37" s="64"/>
      <c r="F37" s="64"/>
    </row>
    <row r="43" spans="8:14" ht="12.75">
      <c r="H43" s="9"/>
      <c r="I43" s="9"/>
      <c r="J43" s="9"/>
      <c r="K43" s="9"/>
      <c r="L43" s="9"/>
      <c r="M43" s="9"/>
      <c r="N43" s="9"/>
    </row>
    <row r="44" spans="8:14" ht="12.75">
      <c r="H44" s="9"/>
      <c r="I44" s="9"/>
      <c r="J44" s="9"/>
      <c r="K44" s="9"/>
      <c r="L44" s="9"/>
      <c r="M44" s="9"/>
      <c r="N44" s="9"/>
    </row>
    <row r="45" spans="8:14" ht="12.75">
      <c r="H45" s="9"/>
      <c r="I45" s="9"/>
      <c r="J45" s="9"/>
      <c r="K45" s="9"/>
      <c r="L45" s="9"/>
      <c r="M45" s="9"/>
      <c r="N45" s="9"/>
    </row>
    <row r="46" spans="8:14" ht="12.75">
      <c r="H46" s="9"/>
      <c r="I46" s="9"/>
      <c r="J46" s="9"/>
      <c r="K46" s="9"/>
      <c r="L46" s="9"/>
      <c r="M46" s="9"/>
      <c r="N46" s="9"/>
    </row>
    <row r="47" spans="8:14" ht="12.75">
      <c r="H47" s="9"/>
      <c r="I47" s="9"/>
      <c r="J47" s="9"/>
      <c r="K47" s="9"/>
      <c r="L47" s="9"/>
      <c r="M47" s="9"/>
      <c r="N47" s="9"/>
    </row>
    <row r="48" spans="8:14" ht="12.75">
      <c r="H48" s="9"/>
      <c r="I48" s="9"/>
      <c r="J48" s="9"/>
      <c r="K48" s="9"/>
      <c r="L48" s="9"/>
      <c r="M48" s="9"/>
      <c r="N48" s="9"/>
    </row>
    <row r="49" spans="8:14" ht="12.75">
      <c r="H49" s="9"/>
      <c r="I49" s="9"/>
      <c r="J49" s="9"/>
      <c r="K49" s="9"/>
      <c r="L49" s="9"/>
      <c r="M49" s="9"/>
      <c r="N49" s="9"/>
    </row>
    <row r="50" spans="8:14" ht="12.75">
      <c r="H50" s="9"/>
      <c r="I50" s="9"/>
      <c r="J50" s="9"/>
      <c r="K50" s="9"/>
      <c r="L50" s="9"/>
      <c r="M50" s="9"/>
      <c r="N50" s="9"/>
    </row>
    <row r="51" spans="8:14" ht="12.75">
      <c r="H51" s="9"/>
      <c r="I51" s="9"/>
      <c r="J51" s="9"/>
      <c r="K51" s="9"/>
      <c r="L51" s="9"/>
      <c r="M51" s="9"/>
      <c r="N51" s="9"/>
    </row>
    <row r="52" spans="8:14" ht="12.75">
      <c r="H52" s="9"/>
      <c r="I52" s="9"/>
      <c r="J52" s="9"/>
      <c r="K52" s="9"/>
      <c r="L52" s="9"/>
      <c r="M52" s="9"/>
      <c r="N52" s="9"/>
    </row>
    <row r="53" spans="8:14" ht="12.75">
      <c r="H53" s="9"/>
      <c r="I53" s="9"/>
      <c r="J53" s="9"/>
      <c r="K53" s="9"/>
      <c r="L53" s="9"/>
      <c r="M53" s="9"/>
      <c r="N53" s="9"/>
    </row>
    <row r="54" spans="8:14" ht="12.75">
      <c r="H54" s="9"/>
      <c r="I54" s="9"/>
      <c r="J54" s="9"/>
      <c r="K54" s="9"/>
      <c r="L54" s="9"/>
      <c r="M54" s="9"/>
      <c r="N54" s="9"/>
    </row>
    <row r="55" spans="8:14" ht="12.75">
      <c r="H55" s="9"/>
      <c r="I55" s="9"/>
      <c r="J55" s="9"/>
      <c r="K55" s="9"/>
      <c r="L55" s="9"/>
      <c r="M55" s="9"/>
      <c r="N55" s="9"/>
    </row>
    <row r="56" spans="8:14" ht="12.75">
      <c r="H56" s="9"/>
      <c r="I56" s="9"/>
      <c r="J56" s="9"/>
      <c r="K56" s="9"/>
      <c r="L56" s="9"/>
      <c r="M56" s="9"/>
      <c r="N56" s="9"/>
    </row>
    <row r="57" spans="8:14" ht="12.75">
      <c r="H57" s="9"/>
      <c r="I57" s="9"/>
      <c r="J57" s="9"/>
      <c r="K57" s="9"/>
      <c r="L57" s="9"/>
      <c r="M57" s="9"/>
      <c r="N57" s="9"/>
    </row>
    <row r="58" spans="1:14" ht="12.75">
      <c r="A58" s="9"/>
      <c r="B58" s="11"/>
      <c r="C58" s="10"/>
      <c r="D58" s="9"/>
      <c r="H58" s="9"/>
      <c r="I58" s="9"/>
      <c r="J58" s="9"/>
      <c r="K58" s="9"/>
      <c r="L58" s="9"/>
      <c r="M58" s="9"/>
      <c r="N58" s="9"/>
    </row>
    <row r="59" spans="1:14" ht="12.75">
      <c r="A59" s="9"/>
      <c r="B59" s="11"/>
      <c r="C59" s="10"/>
      <c r="D59" s="9"/>
      <c r="E59" s="9"/>
      <c r="F59" s="9"/>
      <c r="H59" s="9"/>
      <c r="I59" s="9"/>
      <c r="J59" s="9"/>
      <c r="K59" s="9"/>
      <c r="L59" s="9"/>
      <c r="M59" s="9"/>
      <c r="N59" s="9"/>
    </row>
    <row r="60" ht="12.75">
      <c r="G60" s="37"/>
    </row>
  </sheetData>
  <sheetProtection/>
  <printOptions/>
  <pageMargins left="1.04" right="0.55" top="0.71" bottom="0.62" header="0.5" footer="0.33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0"/>
  <sheetViews>
    <sheetView zoomScale="75" zoomScaleNormal="75" zoomScalePageLayoutView="0" workbookViewId="0" topLeftCell="A1">
      <selection activeCell="P16" sqref="P16:R20"/>
    </sheetView>
  </sheetViews>
  <sheetFormatPr defaultColWidth="9.140625" defaultRowHeight="12.75"/>
  <cols>
    <col min="1" max="1" width="4.57421875" style="0" customWidth="1"/>
    <col min="2" max="2" width="21.28125" style="0" customWidth="1"/>
    <col min="3" max="3" width="14.28125" style="0" customWidth="1"/>
    <col min="4" max="4" width="11.421875" style="0" customWidth="1"/>
    <col min="5" max="5" width="13.8515625" style="0" customWidth="1"/>
    <col min="6" max="6" width="12.421875" style="0" customWidth="1"/>
    <col min="7" max="7" width="12.28125" style="0" customWidth="1"/>
    <col min="8" max="8" width="14.7109375" style="0" customWidth="1"/>
    <col min="11" max="11" width="14.28125" style="0" customWidth="1"/>
    <col min="16" max="16" width="12.28125" style="0" customWidth="1"/>
    <col min="18" max="18" width="11.28125" style="0" customWidth="1"/>
  </cols>
  <sheetData>
    <row r="1" spans="2:16" ht="12.75">
      <c r="B1" s="1" t="s">
        <v>57</v>
      </c>
      <c r="C1" s="42"/>
      <c r="P1" s="2"/>
    </row>
    <row r="2" ht="13.5" thickBot="1">
      <c r="P2" s="2"/>
    </row>
    <row r="3" spans="1:16" ht="13.5" thickTop="1">
      <c r="A3" s="43"/>
      <c r="B3" s="44"/>
      <c r="C3" s="44"/>
      <c r="D3" s="44"/>
      <c r="E3" s="45" t="s">
        <v>58</v>
      </c>
      <c r="F3" s="45"/>
      <c r="G3" s="45"/>
      <c r="H3" s="45"/>
      <c r="I3" s="44"/>
      <c r="J3" s="44"/>
      <c r="K3" s="44"/>
      <c r="L3" s="46"/>
      <c r="P3" s="2"/>
    </row>
    <row r="4" spans="1:16" ht="12.75">
      <c r="A4" s="47"/>
      <c r="D4" s="1"/>
      <c r="E4" s="1"/>
      <c r="F4" s="1"/>
      <c r="G4" s="1"/>
      <c r="H4" s="1"/>
      <c r="I4" s="1"/>
      <c r="J4" s="1"/>
      <c r="K4" s="1"/>
      <c r="L4" s="48"/>
      <c r="P4" s="2"/>
    </row>
    <row r="5" spans="1:16" ht="12.75">
      <c r="A5" s="47"/>
      <c r="B5" s="1" t="s">
        <v>59</v>
      </c>
      <c r="C5" s="42"/>
      <c r="D5" s="1"/>
      <c r="E5" s="1"/>
      <c r="F5" s="1" t="s">
        <v>60</v>
      </c>
      <c r="G5" s="42"/>
      <c r="H5" s="1"/>
      <c r="I5" s="1"/>
      <c r="J5" s="1"/>
      <c r="K5" s="1"/>
      <c r="L5" s="48"/>
      <c r="P5" s="2"/>
    </row>
    <row r="6" spans="1:16" ht="12.75">
      <c r="A6" s="47"/>
      <c r="B6" s="1"/>
      <c r="C6" s="1"/>
      <c r="D6" s="1"/>
      <c r="E6" s="1"/>
      <c r="F6" s="1"/>
      <c r="G6" s="1"/>
      <c r="H6" s="1"/>
      <c r="I6" s="1"/>
      <c r="J6" s="1"/>
      <c r="K6" s="1"/>
      <c r="L6" s="48"/>
      <c r="P6" s="2"/>
    </row>
    <row r="7" spans="1:16" ht="12.75">
      <c r="A7" s="47"/>
      <c r="B7" s="1" t="s">
        <v>61</v>
      </c>
      <c r="C7" s="1"/>
      <c r="D7" s="49"/>
      <c r="E7" s="1" t="s">
        <v>62</v>
      </c>
      <c r="F7" s="1"/>
      <c r="G7" s="49"/>
      <c r="H7" s="50" t="s">
        <v>63</v>
      </c>
      <c r="I7" s="51">
        <v>1</v>
      </c>
      <c r="J7" s="50" t="s">
        <v>64</v>
      </c>
      <c r="K7" s="51"/>
      <c r="L7" s="48"/>
      <c r="P7" s="2"/>
    </row>
    <row r="8" spans="1:16" ht="12.75">
      <c r="A8" s="47"/>
      <c r="B8" s="1"/>
      <c r="C8" s="1"/>
      <c r="D8" s="1"/>
      <c r="E8" s="1"/>
      <c r="F8" s="1"/>
      <c r="G8" s="1"/>
      <c r="H8" s="1"/>
      <c r="I8" s="1"/>
      <c r="J8" s="1"/>
      <c r="K8" s="1"/>
      <c r="L8" s="48"/>
      <c r="P8" s="2"/>
    </row>
    <row r="9" spans="1:16" ht="12.75">
      <c r="A9" s="47"/>
      <c r="B9" s="1"/>
      <c r="C9" s="1"/>
      <c r="D9" s="1"/>
      <c r="E9" s="1"/>
      <c r="F9" s="1"/>
      <c r="G9" s="1"/>
      <c r="H9" s="1"/>
      <c r="I9" s="1"/>
      <c r="J9" s="1"/>
      <c r="K9" s="1"/>
      <c r="L9" s="48"/>
      <c r="P9" s="2"/>
    </row>
    <row r="10" spans="1:16" ht="12.75">
      <c r="A10" s="47"/>
      <c r="B10" s="1" t="s">
        <v>65</v>
      </c>
      <c r="C10" s="1"/>
      <c r="D10" s="1"/>
      <c r="E10" s="1"/>
      <c r="F10" s="1"/>
      <c r="G10" s="1"/>
      <c r="H10" s="1"/>
      <c r="I10" s="1"/>
      <c r="J10" s="1"/>
      <c r="K10" s="183">
        <f>'La busta paga'!B36</f>
        <v>1187.3074074074075</v>
      </c>
      <c r="L10" s="48"/>
      <c r="P10" s="2"/>
    </row>
    <row r="11" spans="1:16" ht="12.75">
      <c r="A11" s="47"/>
      <c r="B11" s="1" t="s">
        <v>66</v>
      </c>
      <c r="C11" s="1"/>
      <c r="D11" s="1"/>
      <c r="E11" s="1"/>
      <c r="F11" s="1"/>
      <c r="G11" s="1"/>
      <c r="H11" s="1"/>
      <c r="I11" s="1"/>
      <c r="J11" s="1"/>
      <c r="K11" s="6">
        <v>0</v>
      </c>
      <c r="L11" s="48"/>
      <c r="P11" s="2"/>
    </row>
    <row r="12" spans="1:16" ht="12.75">
      <c r="A12" s="47"/>
      <c r="B12" s="1"/>
      <c r="C12" s="1"/>
      <c r="D12" s="1"/>
      <c r="E12" s="1"/>
      <c r="F12" s="1"/>
      <c r="G12" s="1"/>
      <c r="H12" s="1"/>
      <c r="I12" s="1"/>
      <c r="J12" s="1"/>
      <c r="K12" s="1"/>
      <c r="L12" s="48"/>
      <c r="P12" s="2"/>
    </row>
    <row r="13" spans="1:16" ht="12.75">
      <c r="A13" s="47"/>
      <c r="B13" s="1" t="s">
        <v>67</v>
      </c>
      <c r="C13" s="1"/>
      <c r="D13" s="1"/>
      <c r="E13" s="83"/>
      <c r="F13" s="83"/>
      <c r="G13" s="83"/>
      <c r="H13" s="82">
        <f>(K10+K11)</f>
        <v>1187.3074074074075</v>
      </c>
      <c r="I13" s="1"/>
      <c r="J13" s="1"/>
      <c r="K13" s="1"/>
      <c r="L13" s="48"/>
      <c r="P13" s="2"/>
    </row>
    <row r="14" spans="1:16" ht="12.75">
      <c r="A14" s="47"/>
      <c r="B14" s="1" t="s">
        <v>68</v>
      </c>
      <c r="C14" s="1"/>
      <c r="D14" s="1"/>
      <c r="E14" s="83"/>
      <c r="F14" s="83"/>
      <c r="G14" s="83"/>
      <c r="H14" s="82"/>
      <c r="I14" s="1"/>
      <c r="J14" s="1"/>
      <c r="K14" s="1"/>
      <c r="L14" s="48"/>
      <c r="P14" s="2"/>
    </row>
    <row r="15" spans="1:18" ht="12.75">
      <c r="A15" s="47"/>
      <c r="B15" s="1"/>
      <c r="C15" s="1"/>
      <c r="D15" s="1"/>
      <c r="E15" s="83"/>
      <c r="F15" s="83"/>
      <c r="G15" s="83"/>
      <c r="H15" s="82"/>
      <c r="I15" s="1"/>
      <c r="J15" s="1"/>
      <c r="K15" s="1"/>
      <c r="L15" s="48"/>
      <c r="P15" s="2" t="s">
        <v>69</v>
      </c>
      <c r="Q15" s="54" t="s">
        <v>70</v>
      </c>
      <c r="R15" s="2"/>
    </row>
    <row r="16" spans="1:18" ht="12.75">
      <c r="A16" s="47"/>
      <c r="B16" s="1" t="s">
        <v>71</v>
      </c>
      <c r="C16" s="82">
        <v>309.87</v>
      </c>
      <c r="D16" s="1" t="s">
        <v>72</v>
      </c>
      <c r="E16" s="82">
        <f>(K7/12)+I7</f>
        <v>1</v>
      </c>
      <c r="F16" s="83"/>
      <c r="G16" s="83"/>
      <c r="H16" s="82">
        <f>(C16*E16)</f>
        <v>309.87</v>
      </c>
      <c r="I16" s="1"/>
      <c r="J16" s="1"/>
      <c r="K16" s="1"/>
      <c r="L16" s="48"/>
      <c r="N16" s="50"/>
      <c r="O16" s="53"/>
      <c r="P16" s="160">
        <v>1250</v>
      </c>
      <c r="Q16" s="70">
        <v>0.23</v>
      </c>
      <c r="R16" s="160">
        <v>287.5</v>
      </c>
    </row>
    <row r="17" spans="1:18" ht="12.75">
      <c r="A17" s="47"/>
      <c r="B17" s="1"/>
      <c r="C17" s="6"/>
      <c r="D17" s="1"/>
      <c r="E17" s="83"/>
      <c r="F17" s="83"/>
      <c r="G17" s="83"/>
      <c r="H17" s="82"/>
      <c r="I17" s="1"/>
      <c r="J17" s="1"/>
      <c r="K17" s="1"/>
      <c r="L17" s="48"/>
      <c r="N17" s="50"/>
      <c r="O17" s="53"/>
      <c r="P17" s="160">
        <v>2416.67</v>
      </c>
      <c r="Q17" s="70">
        <v>0.29</v>
      </c>
      <c r="R17" s="160">
        <v>625.8343</v>
      </c>
    </row>
    <row r="18" spans="1:18" ht="12.75">
      <c r="A18" s="47"/>
      <c r="B18" s="1" t="s">
        <v>73</v>
      </c>
      <c r="C18" s="1"/>
      <c r="D18" s="1"/>
      <c r="E18" s="83"/>
      <c r="F18" s="83"/>
      <c r="G18" s="83"/>
      <c r="H18" s="82">
        <f>(H13-H16)</f>
        <v>877.4374074074075</v>
      </c>
      <c r="I18" s="1"/>
      <c r="J18" s="1"/>
      <c r="K18" s="1"/>
      <c r="L18" s="48"/>
      <c r="N18" s="50"/>
      <c r="O18" s="53"/>
      <c r="P18" s="160">
        <v>2716.67</v>
      </c>
      <c r="Q18" s="70">
        <v>0.31</v>
      </c>
      <c r="R18" s="160">
        <v>718.8343</v>
      </c>
    </row>
    <row r="19" spans="1:18" ht="12.75">
      <c r="A19" s="47"/>
      <c r="B19" s="1"/>
      <c r="C19" s="1"/>
      <c r="D19" s="1"/>
      <c r="E19" s="83"/>
      <c r="F19" s="83"/>
      <c r="G19" s="83"/>
      <c r="H19" s="82"/>
      <c r="I19" s="1"/>
      <c r="J19" s="1"/>
      <c r="K19" s="1"/>
      <c r="L19" s="48"/>
      <c r="N19" s="50"/>
      <c r="O19" s="53"/>
      <c r="P19" s="160">
        <v>5833.33</v>
      </c>
      <c r="Q19" s="70">
        <v>0.39</v>
      </c>
      <c r="R19" s="160">
        <v>1934.3317</v>
      </c>
    </row>
    <row r="20" spans="1:18" ht="12.75">
      <c r="A20" s="47"/>
      <c r="B20" s="1" t="s">
        <v>74</v>
      </c>
      <c r="C20" s="1"/>
      <c r="D20" s="1"/>
      <c r="E20" s="83"/>
      <c r="F20" s="83"/>
      <c r="G20" s="83"/>
      <c r="H20" s="82"/>
      <c r="I20" s="1"/>
      <c r="J20" s="1"/>
      <c r="K20" s="1"/>
      <c r="L20" s="48"/>
      <c r="N20" s="50"/>
      <c r="O20" s="53"/>
      <c r="P20" s="69" t="s">
        <v>75</v>
      </c>
      <c r="Q20" s="70">
        <v>0.45</v>
      </c>
      <c r="R20" s="160"/>
    </row>
    <row r="21" spans="1:18" ht="12.75">
      <c r="A21" s="47"/>
      <c r="B21" s="1"/>
      <c r="C21" s="1"/>
      <c r="D21" s="1"/>
      <c r="E21" s="83"/>
      <c r="F21" s="83"/>
      <c r="G21" s="83"/>
      <c r="H21" s="82"/>
      <c r="I21" s="1"/>
      <c r="J21" s="1"/>
      <c r="K21" s="1"/>
      <c r="L21" s="48"/>
      <c r="N21" s="50"/>
      <c r="O21" s="53"/>
      <c r="P21" s="6"/>
      <c r="Q21" s="8"/>
      <c r="R21" s="2"/>
    </row>
    <row r="22" spans="1:18" ht="12.75">
      <c r="A22" s="47"/>
      <c r="B22" s="1" t="s">
        <v>76</v>
      </c>
      <c r="C22" s="82"/>
      <c r="D22" s="82"/>
      <c r="E22" s="82">
        <f>(H13)</f>
        <v>1187.3074074074075</v>
      </c>
      <c r="F22" s="82">
        <f>E16</f>
        <v>1</v>
      </c>
      <c r="G22" s="82">
        <v>12</v>
      </c>
      <c r="H22" s="82">
        <f>ROUND(E22/F22*12,0)</f>
        <v>14248</v>
      </c>
      <c r="I22" s="82"/>
      <c r="J22" s="82"/>
      <c r="K22" s="82"/>
      <c r="L22" s="48"/>
      <c r="P22" s="2"/>
      <c r="Q22" s="55"/>
      <c r="R22" s="2"/>
    </row>
    <row r="23" spans="1:16" ht="12.75">
      <c r="A23" s="47"/>
      <c r="B23" s="1"/>
      <c r="C23" s="82"/>
      <c r="D23" s="82"/>
      <c r="E23" s="82"/>
      <c r="F23" s="82"/>
      <c r="G23" s="82"/>
      <c r="H23" s="82"/>
      <c r="I23" s="82"/>
      <c r="J23" s="82"/>
      <c r="K23" s="82"/>
      <c r="L23" s="48"/>
      <c r="P23" s="2"/>
    </row>
    <row r="24" spans="1:16" ht="12.75">
      <c r="A24" s="47"/>
      <c r="B24" s="1" t="s">
        <v>77</v>
      </c>
      <c r="C24" s="82">
        <f>H22</f>
        <v>14248</v>
      </c>
      <c r="D24" s="184" t="s">
        <v>78</v>
      </c>
      <c r="E24" s="82">
        <f>D25</f>
        <v>5720.9332</v>
      </c>
      <c r="F24" s="82"/>
      <c r="G24" s="82"/>
      <c r="H24" s="82"/>
      <c r="I24" s="82"/>
      <c r="J24" s="82"/>
      <c r="K24" s="82"/>
      <c r="L24" s="48"/>
      <c r="P24" s="2"/>
    </row>
    <row r="25" spans="1:16" ht="12.75">
      <c r="A25" s="47"/>
      <c r="B25" s="1"/>
      <c r="C25" s="82"/>
      <c r="D25" s="184">
        <f>IF(H22&lt;P16,(H22*Q16),E25)</f>
        <v>5720.9332</v>
      </c>
      <c r="E25" s="82">
        <f>IF(H22&lt;P17,(H22-P16)*Q17+R16,F25)</f>
        <v>5720.9332</v>
      </c>
      <c r="F25" s="82">
        <f>IF(H22&lt;P18,(H22-P17)*Q18+R17,G25)</f>
        <v>5720.9332</v>
      </c>
      <c r="G25" s="82">
        <f>IF(H22&lt;P19,(H22-P18)*Q19+R18,H25)</f>
        <v>5720.9332</v>
      </c>
      <c r="H25" s="82">
        <f>IF(H22&lt;P20,(H22-P19)*Q20+R19,I25)</f>
        <v>5720.9332</v>
      </c>
      <c r="I25" s="82"/>
      <c r="J25" s="82"/>
      <c r="K25" s="82"/>
      <c r="L25" s="48"/>
      <c r="P25" s="2"/>
    </row>
    <row r="26" spans="1:16" ht="12.75">
      <c r="A26" s="47"/>
      <c r="B26" s="1" t="s">
        <v>79</v>
      </c>
      <c r="C26" s="82">
        <f>E24</f>
        <v>5720.9332</v>
      </c>
      <c r="D26" s="184" t="s">
        <v>80</v>
      </c>
      <c r="E26" s="82">
        <f>H22</f>
        <v>14248</v>
      </c>
      <c r="F26" s="82">
        <f>IF(C26=0,0,C26/E26*100)</f>
        <v>40.152535092644584</v>
      </c>
      <c r="G26" s="161"/>
      <c r="H26" s="82"/>
      <c r="I26" s="82"/>
      <c r="J26" s="82"/>
      <c r="K26" s="82"/>
      <c r="L26" s="48"/>
      <c r="P26" s="2"/>
    </row>
    <row r="27" spans="1:16" ht="12.75">
      <c r="A27" s="47"/>
      <c r="B27" s="1"/>
      <c r="C27" s="82"/>
      <c r="D27" s="82"/>
      <c r="E27" s="82"/>
      <c r="F27" s="82"/>
      <c r="G27" s="82"/>
      <c r="H27" s="82"/>
      <c r="I27" s="82"/>
      <c r="J27" s="82"/>
      <c r="K27" s="82"/>
      <c r="L27" s="48"/>
      <c r="P27" s="2"/>
    </row>
    <row r="28" spans="1:16" ht="12.75">
      <c r="A28" s="47"/>
      <c r="B28" s="1" t="s">
        <v>81</v>
      </c>
      <c r="C28" s="82"/>
      <c r="D28" s="82"/>
      <c r="E28" s="82">
        <f>H18</f>
        <v>877.4374074074075</v>
      </c>
      <c r="F28" s="184" t="s">
        <v>82</v>
      </c>
      <c r="G28" s="82">
        <f>F26</f>
        <v>40.152535092644584</v>
      </c>
      <c r="H28" s="82"/>
      <c r="I28" s="82"/>
      <c r="J28" s="82"/>
      <c r="K28" s="82">
        <f>ROUND((E28*G28)/100,0)</f>
        <v>352</v>
      </c>
      <c r="L28" s="48"/>
      <c r="P28" s="2"/>
    </row>
    <row r="29" spans="1:16" ht="12.75">
      <c r="A29" s="47"/>
      <c r="B29" s="1"/>
      <c r="C29" s="82"/>
      <c r="D29" s="82"/>
      <c r="E29" s="82"/>
      <c r="F29" s="82"/>
      <c r="G29" s="82"/>
      <c r="H29" s="82" t="s">
        <v>83</v>
      </c>
      <c r="I29" s="82"/>
      <c r="J29" s="82"/>
      <c r="K29" s="82">
        <v>0</v>
      </c>
      <c r="L29" s="48"/>
      <c r="P29" s="2"/>
    </row>
    <row r="30" spans="1:16" ht="12.75">
      <c r="A30" s="47"/>
      <c r="B30" s="1"/>
      <c r="C30" s="82"/>
      <c r="D30" s="82"/>
      <c r="E30" s="82"/>
      <c r="F30" s="82"/>
      <c r="G30" s="82"/>
      <c r="H30" s="82"/>
      <c r="I30" s="82" t="s">
        <v>84</v>
      </c>
      <c r="J30" s="82"/>
      <c r="K30" s="183">
        <f>(K28-K29)</f>
        <v>352</v>
      </c>
      <c r="L30" s="48"/>
      <c r="P30" s="2"/>
    </row>
    <row r="31" spans="1:16" ht="12.75">
      <c r="A31" s="47"/>
      <c r="B31" s="1"/>
      <c r="C31" s="82"/>
      <c r="D31" s="82"/>
      <c r="E31" s="82"/>
      <c r="F31" s="82"/>
      <c r="G31" s="82"/>
      <c r="H31" s="82"/>
      <c r="I31" s="82"/>
      <c r="J31" s="82"/>
      <c r="K31" s="82"/>
      <c r="L31" s="48"/>
      <c r="P31" s="2"/>
    </row>
    <row r="32" spans="1:16" ht="12.75">
      <c r="A32" s="47"/>
      <c r="B32" s="1"/>
      <c r="C32" s="82"/>
      <c r="D32" s="82"/>
      <c r="E32" s="82"/>
      <c r="F32" s="82"/>
      <c r="G32" s="82"/>
      <c r="H32" s="82"/>
      <c r="I32" s="82"/>
      <c r="J32" s="82"/>
      <c r="K32" s="82"/>
      <c r="L32" s="48"/>
      <c r="P32" s="2"/>
    </row>
    <row r="33" spans="1:16" ht="12.75">
      <c r="A33" s="47"/>
      <c r="B33" s="1" t="s">
        <v>85</v>
      </c>
      <c r="C33" s="82"/>
      <c r="D33" s="82"/>
      <c r="E33" s="82"/>
      <c r="F33" s="82"/>
      <c r="G33" s="82"/>
      <c r="H33" s="82"/>
      <c r="I33" s="82"/>
      <c r="J33" s="82"/>
      <c r="K33" s="183">
        <f>(K10-K30)</f>
        <v>835.3074074074075</v>
      </c>
      <c r="L33" s="48"/>
      <c r="P33" s="2"/>
    </row>
    <row r="34" spans="1:16" ht="12.75">
      <c r="A34" s="47"/>
      <c r="B34" s="1"/>
      <c r="C34" s="1"/>
      <c r="D34" s="1"/>
      <c r="E34" s="1"/>
      <c r="F34" s="1"/>
      <c r="G34" s="1"/>
      <c r="H34" s="1"/>
      <c r="I34" s="1"/>
      <c r="J34" s="1"/>
      <c r="K34" s="52"/>
      <c r="L34" s="48"/>
      <c r="P34" s="2"/>
    </row>
    <row r="35" spans="1:16" ht="13.5" thickBo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8"/>
      <c r="L35" s="59"/>
      <c r="P35" s="2"/>
    </row>
    <row r="36" spans="2:16" ht="13.5" thickTop="1">
      <c r="B36" s="1"/>
      <c r="C36" s="1"/>
      <c r="D36" s="1"/>
      <c r="E36" s="1"/>
      <c r="F36" s="1"/>
      <c r="G36" s="1"/>
      <c r="H36" s="1"/>
      <c r="I36" s="1"/>
      <c r="J36" s="1"/>
      <c r="K36" s="52"/>
      <c r="P36" s="2"/>
    </row>
    <row r="37" spans="2:16" ht="13.5" thickBot="1">
      <c r="B37" s="1"/>
      <c r="C37" s="1"/>
      <c r="D37" s="1"/>
      <c r="E37" s="1"/>
      <c r="F37" s="1"/>
      <c r="G37" s="1"/>
      <c r="H37" s="1"/>
      <c r="I37" s="1"/>
      <c r="J37" s="1"/>
      <c r="K37" s="52"/>
      <c r="P37" s="2"/>
    </row>
    <row r="38" spans="1:16" ht="13.5" thickTop="1">
      <c r="A38" s="43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6"/>
      <c r="P38" s="2"/>
    </row>
    <row r="39" spans="1:16" ht="12.75">
      <c r="A39" s="47"/>
      <c r="B39" s="1" t="s">
        <v>86</v>
      </c>
      <c r="C39" s="1"/>
      <c r="D39" s="60">
        <f>C5</f>
        <v>0</v>
      </c>
      <c r="E39" s="42">
        <f>G5</f>
        <v>0</v>
      </c>
      <c r="F39" s="1" t="s">
        <v>87</v>
      </c>
      <c r="G39" s="1"/>
      <c r="H39" s="1"/>
      <c r="I39" s="42">
        <f>C1</f>
        <v>0</v>
      </c>
      <c r="J39" s="1"/>
      <c r="K39" s="1"/>
      <c r="L39" s="48"/>
      <c r="P39" s="2"/>
    </row>
    <row r="40" spans="1:16" ht="12.75">
      <c r="A40" s="47"/>
      <c r="B40" s="1" t="s">
        <v>88</v>
      </c>
      <c r="C40" s="52">
        <f>K33</f>
        <v>835.3074074074075</v>
      </c>
      <c r="D40" s="1" t="s">
        <v>89</v>
      </c>
      <c r="E40" s="1"/>
      <c r="F40" s="1"/>
      <c r="G40" s="1"/>
      <c r="H40" s="1"/>
      <c r="I40" s="1"/>
      <c r="J40" s="50"/>
      <c r="K40" s="1"/>
      <c r="L40" s="48"/>
      <c r="P40" s="2"/>
    </row>
    <row r="41" spans="1:16" ht="12.75">
      <c r="A41" s="47"/>
      <c r="B41" s="1"/>
      <c r="C41" s="1"/>
      <c r="D41" s="1"/>
      <c r="E41" s="61"/>
      <c r="F41" s="1"/>
      <c r="G41" s="1"/>
      <c r="H41" s="1"/>
      <c r="I41" s="1"/>
      <c r="J41" s="1"/>
      <c r="K41" s="1"/>
      <c r="L41" s="48"/>
      <c r="P41" s="2"/>
    </row>
    <row r="42" spans="1:16" ht="12.75">
      <c r="A42" s="47"/>
      <c r="B42" s="1"/>
      <c r="C42" s="1"/>
      <c r="D42" s="1"/>
      <c r="E42" s="1"/>
      <c r="F42" s="62"/>
      <c r="G42" s="1"/>
      <c r="H42" s="1"/>
      <c r="I42" s="1"/>
      <c r="J42" s="1"/>
      <c r="K42" s="1"/>
      <c r="L42" s="48"/>
      <c r="P42" s="2"/>
    </row>
    <row r="43" spans="1:16" ht="12.75">
      <c r="A43" s="47"/>
      <c r="B43" s="1"/>
      <c r="C43" s="1"/>
      <c r="D43" s="1"/>
      <c r="E43" s="1"/>
      <c r="F43" s="62"/>
      <c r="G43" s="1"/>
      <c r="H43" s="1"/>
      <c r="I43" s="1"/>
      <c r="J43" s="1"/>
      <c r="K43" s="1"/>
      <c r="L43" s="48"/>
      <c r="P43" s="2"/>
    </row>
    <row r="44" spans="1:16" ht="12.75">
      <c r="A44" s="47"/>
      <c r="B44" s="1"/>
      <c r="C44" s="1"/>
      <c r="D44" s="1"/>
      <c r="E44" s="1"/>
      <c r="F44" s="1"/>
      <c r="G44" s="1"/>
      <c r="H44" s="1"/>
      <c r="I44" s="1"/>
      <c r="J44" s="1"/>
      <c r="K44" s="1"/>
      <c r="L44" s="48"/>
      <c r="P44" s="2"/>
    </row>
    <row r="45" spans="1:16" ht="12.75">
      <c r="A45" s="47"/>
      <c r="B45" s="42" t="s">
        <v>90</v>
      </c>
      <c r="C45" s="63"/>
      <c r="D45" s="1"/>
      <c r="F45" s="42" t="s">
        <v>91</v>
      </c>
      <c r="G45" s="63"/>
      <c r="H45" s="63"/>
      <c r="I45" s="63"/>
      <c r="J45" s="63"/>
      <c r="K45" s="63"/>
      <c r="L45" s="48"/>
      <c r="P45" s="2"/>
    </row>
    <row r="46" spans="1:16" ht="12.75">
      <c r="A46" s="47"/>
      <c r="B46" s="1"/>
      <c r="C46" s="1"/>
      <c r="D46" s="1"/>
      <c r="E46" s="1"/>
      <c r="F46" s="1"/>
      <c r="G46" s="1"/>
      <c r="H46" s="1"/>
      <c r="I46" s="1"/>
      <c r="J46" s="1"/>
      <c r="K46" s="1"/>
      <c r="L46" s="48"/>
      <c r="P46" s="2"/>
    </row>
    <row r="47" spans="1:16" ht="12.75">
      <c r="A47" s="47"/>
      <c r="B47" s="1"/>
      <c r="C47" s="1"/>
      <c r="D47" s="1"/>
      <c r="E47" s="1"/>
      <c r="F47" s="1"/>
      <c r="G47" s="1"/>
      <c r="H47" s="1"/>
      <c r="I47" s="1"/>
      <c r="J47" s="1"/>
      <c r="K47" s="1"/>
      <c r="L47" s="48"/>
      <c r="P47" s="2"/>
    </row>
    <row r="48" spans="1:16" ht="12.75">
      <c r="A48" s="47"/>
      <c r="B48" s="1"/>
      <c r="C48" s="1"/>
      <c r="D48" s="1"/>
      <c r="E48" s="1"/>
      <c r="F48" s="1"/>
      <c r="G48" s="1"/>
      <c r="H48" s="1"/>
      <c r="I48" s="1"/>
      <c r="J48" s="1"/>
      <c r="K48" s="1"/>
      <c r="L48" s="48"/>
      <c r="P48" s="2"/>
    </row>
    <row r="49" spans="1:16" ht="12.75">
      <c r="A49" s="47"/>
      <c r="B49" s="1"/>
      <c r="C49" s="1"/>
      <c r="D49" s="1"/>
      <c r="E49" s="1"/>
      <c r="F49" s="1"/>
      <c r="G49" s="1"/>
      <c r="H49" s="1"/>
      <c r="I49" s="1"/>
      <c r="J49" s="1"/>
      <c r="K49" s="1"/>
      <c r="L49" s="48"/>
      <c r="P49" s="2"/>
    </row>
    <row r="50" spans="1:16" ht="12.75">
      <c r="A50" s="47"/>
      <c r="B50" s="1"/>
      <c r="C50" s="1"/>
      <c r="D50" s="1"/>
      <c r="E50" s="1"/>
      <c r="F50" s="1"/>
      <c r="G50" s="1"/>
      <c r="H50" s="1"/>
      <c r="I50" s="1"/>
      <c r="J50" s="1"/>
      <c r="K50" s="1"/>
      <c r="L50" s="48"/>
      <c r="P50" s="2"/>
    </row>
    <row r="51" spans="1:16" ht="12.75">
      <c r="A51" s="47"/>
      <c r="B51" s="1"/>
      <c r="C51" s="1"/>
      <c r="D51" s="1"/>
      <c r="E51" s="1"/>
      <c r="F51" s="1"/>
      <c r="G51" s="1"/>
      <c r="H51" s="1"/>
      <c r="I51" s="1"/>
      <c r="J51" s="1"/>
      <c r="K51" s="1"/>
      <c r="L51" s="48"/>
      <c r="P51" s="2"/>
    </row>
    <row r="52" spans="1:16" ht="12.75">
      <c r="A52" s="47"/>
      <c r="B52" s="1"/>
      <c r="C52" s="1"/>
      <c r="D52" s="1"/>
      <c r="E52" s="1"/>
      <c r="F52" s="1"/>
      <c r="G52" s="1"/>
      <c r="H52" s="1"/>
      <c r="I52" s="1"/>
      <c r="J52" s="1"/>
      <c r="K52" s="1"/>
      <c r="L52" s="48"/>
      <c r="P52" s="2"/>
    </row>
    <row r="53" spans="1:16" ht="13.5" thickBot="1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9"/>
      <c r="P53" s="2"/>
    </row>
    <row r="54" ht="13.5" thickTop="1">
      <c r="P54" s="2"/>
    </row>
    <row r="55" ht="12.75">
      <c r="P55" s="2"/>
    </row>
    <row r="56" ht="12.75">
      <c r="P56" s="2"/>
    </row>
    <row r="57" ht="12.75">
      <c r="P57" s="2"/>
    </row>
    <row r="58" ht="12.75">
      <c r="P58" s="2"/>
    </row>
    <row r="59" ht="12.75">
      <c r="P59" s="2"/>
    </row>
    <row r="60" ht="12.75">
      <c r="P60" s="2"/>
    </row>
  </sheetData>
  <sheetProtection password="CC1C"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4" sqref="A4"/>
    </sheetView>
  </sheetViews>
  <sheetFormatPr defaultColWidth="9.140625" defaultRowHeight="12.75"/>
  <cols>
    <col min="1" max="1" width="13.8515625" style="0" customWidth="1"/>
    <col min="2" max="2" width="12.28125" style="0" customWidth="1"/>
    <col min="3" max="3" width="12.00390625" style="0" customWidth="1"/>
    <col min="4" max="4" width="12.28125" style="0" customWidth="1"/>
    <col min="5" max="5" width="17.7109375" style="0" customWidth="1"/>
    <col min="6" max="6" width="11.28125" style="0" customWidth="1"/>
  </cols>
  <sheetData>
    <row r="1" spans="1:6" ht="12.75">
      <c r="A1" s="112" t="s">
        <v>92</v>
      </c>
      <c r="B1" s="111"/>
      <c r="C1" s="111"/>
      <c r="D1" s="74" t="s">
        <v>93</v>
      </c>
      <c r="E1" s="39" t="s">
        <v>64</v>
      </c>
      <c r="F1" s="39">
        <v>12</v>
      </c>
    </row>
    <row r="2" spans="1:6" ht="12.75">
      <c r="A2" s="111"/>
      <c r="B2" s="111"/>
      <c r="C2" s="111"/>
      <c r="D2" s="79">
        <f>'La busta paga'!E36</f>
        <v>20128.961225589228</v>
      </c>
      <c r="E2" s="39" t="s">
        <v>94</v>
      </c>
      <c r="F2" s="40">
        <v>173</v>
      </c>
    </row>
    <row r="3" spans="1:6" ht="12.75">
      <c r="A3" s="39" t="s">
        <v>95</v>
      </c>
      <c r="B3" s="77" t="s">
        <v>96</v>
      </c>
      <c r="C3" s="75" t="s">
        <v>97</v>
      </c>
      <c r="D3" s="74" t="s">
        <v>98</v>
      </c>
      <c r="E3" s="39" t="s">
        <v>99</v>
      </c>
      <c r="F3" s="40">
        <f>F2*F1</f>
        <v>2076</v>
      </c>
    </row>
    <row r="4" spans="1:7" ht="12.75">
      <c r="A4" s="144">
        <f>'La busta paga'!D36</f>
        <v>24413.14842558923</v>
      </c>
      <c r="B4" s="78">
        <f>A4-D2</f>
        <v>4284.1872</v>
      </c>
      <c r="C4" s="76">
        <f>D2-D4</f>
        <v>5059.627702695023</v>
      </c>
      <c r="D4" s="79">
        <f>'La busta paga'!G36</f>
        <v>15069.333522894205</v>
      </c>
      <c r="E4" s="39" t="s">
        <v>100</v>
      </c>
      <c r="F4" s="144">
        <f>A4/F3</f>
        <v>11.759705407316584</v>
      </c>
      <c r="G4" s="96"/>
    </row>
    <row r="5" spans="1:7" ht="12.75">
      <c r="A5" s="108">
        <f>SUM(B5:D5)</f>
        <v>1</v>
      </c>
      <c r="B5" s="105">
        <f>B4/A4</f>
        <v>0.17548687802632726</v>
      </c>
      <c r="C5" s="106">
        <f>C4/A4</f>
        <v>0.20725011024762593</v>
      </c>
      <c r="D5" s="107">
        <f>D4/A4</f>
        <v>0.6172630117260468</v>
      </c>
      <c r="E5" s="39"/>
      <c r="F5" s="39"/>
      <c r="G5" s="96"/>
    </row>
    <row r="6" spans="2:7" ht="12.75">
      <c r="B6" s="104"/>
      <c r="G6" s="96"/>
    </row>
    <row r="7" spans="6:7" ht="12.75">
      <c r="F7" s="96"/>
      <c r="G7" s="96"/>
    </row>
    <row r="8" spans="6:7" ht="12.75">
      <c r="F8" s="84"/>
      <c r="G8" s="84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9">
      <selection activeCell="A14" sqref="A14"/>
    </sheetView>
  </sheetViews>
  <sheetFormatPr defaultColWidth="9.140625" defaultRowHeight="12.75"/>
  <sheetData/>
  <sheetProtection password="CC1C" sheet="1" objects="1" scenarios="1"/>
  <printOptions/>
  <pageMargins left="0.75" right="0.75" top="1" bottom="1" header="0.5" footer="0.5"/>
  <pageSetup horizontalDpi="300" verticalDpi="300" orientation="portrait" paperSize="9" r:id="rId3"/>
  <legacyDrawing r:id="rId2"/>
  <oleObjects>
    <oleObject progId="Word.Document.8" shapeId="1821183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3">
      <selection activeCell="D28" sqref="D28"/>
    </sheetView>
  </sheetViews>
  <sheetFormatPr defaultColWidth="9.140625" defaultRowHeight="12.75"/>
  <cols>
    <col min="1" max="1" width="10.140625" style="0" customWidth="1"/>
    <col min="2" max="2" width="10.8515625" style="0" customWidth="1"/>
    <col min="3" max="3" width="10.140625" style="0" customWidth="1"/>
    <col min="4" max="4" width="12.00390625" style="0" customWidth="1"/>
    <col min="5" max="5" width="15.57421875" style="0" customWidth="1"/>
    <col min="6" max="6" width="11.7109375" style="0" customWidth="1"/>
    <col min="7" max="7" width="18.140625" style="0" customWidth="1"/>
    <col min="8" max="8" width="15.421875" style="0" customWidth="1"/>
  </cols>
  <sheetData>
    <row r="1" spans="1:9" ht="12.75">
      <c r="A1" s="390" t="s">
        <v>174</v>
      </c>
      <c r="B1" s="390"/>
      <c r="C1" s="390"/>
      <c r="D1" s="256" t="s">
        <v>175</v>
      </c>
      <c r="E1" s="257">
        <f>'La busta paga'!G27*12</f>
        <v>13218.149400000002</v>
      </c>
      <c r="F1" s="256" t="s">
        <v>176</v>
      </c>
      <c r="G1" s="257">
        <f>SUM(E10:E14)</f>
        <v>3040.1743620000007</v>
      </c>
      <c r="H1" s="352"/>
      <c r="I1" s="258"/>
    </row>
    <row r="2" spans="1:9" ht="12.75">
      <c r="A2" s="259" t="s">
        <v>177</v>
      </c>
      <c r="B2" s="260" t="s">
        <v>178</v>
      </c>
      <c r="C2" s="260" t="s">
        <v>179</v>
      </c>
      <c r="D2" s="260" t="s">
        <v>180</v>
      </c>
      <c r="E2" s="260" t="s">
        <v>181</v>
      </c>
      <c r="F2" s="342"/>
      <c r="G2" s="262"/>
      <c r="H2" s="262"/>
      <c r="I2" s="263"/>
    </row>
    <row r="3" spans="1:9" ht="12.75">
      <c r="A3" s="264">
        <v>0</v>
      </c>
      <c r="B3" s="265">
        <v>15000</v>
      </c>
      <c r="C3" s="266">
        <v>0.23</v>
      </c>
      <c r="D3" s="265">
        <f>SUM(B3-A3)</f>
        <v>15000</v>
      </c>
      <c r="E3" s="265">
        <f>(D3*C3)</f>
        <v>3450</v>
      </c>
      <c r="F3" s="261"/>
      <c r="G3" s="262"/>
      <c r="H3" s="262"/>
      <c r="I3" s="263"/>
    </row>
    <row r="4" spans="1:9" ht="12.75">
      <c r="A4" s="267">
        <v>15000</v>
      </c>
      <c r="B4" s="268">
        <v>28000</v>
      </c>
      <c r="C4" s="269">
        <v>0.27</v>
      </c>
      <c r="D4" s="268">
        <f>SUM(B4-A4)</f>
        <v>13000</v>
      </c>
      <c r="E4" s="268">
        <f>(D4*C4)</f>
        <v>3510.0000000000005</v>
      </c>
      <c r="F4" s="261"/>
      <c r="G4" s="262"/>
      <c r="H4" s="262"/>
      <c r="I4" s="263"/>
    </row>
    <row r="5" spans="1:9" ht="12.75">
      <c r="A5" s="267">
        <v>28000</v>
      </c>
      <c r="B5" s="268">
        <v>55000</v>
      </c>
      <c r="C5" s="269">
        <v>0.38</v>
      </c>
      <c r="D5" s="268">
        <f>SUM(B5-A5)</f>
        <v>27000</v>
      </c>
      <c r="E5" s="268">
        <f>(D5*C5)</f>
        <v>10260</v>
      </c>
      <c r="F5" s="261"/>
      <c r="G5" s="262"/>
      <c r="H5" s="262"/>
      <c r="I5" s="263"/>
    </row>
    <row r="6" spans="1:9" ht="12.75">
      <c r="A6" s="267">
        <v>55000</v>
      </c>
      <c r="B6" s="268">
        <v>75000</v>
      </c>
      <c r="C6" s="269">
        <v>0.41</v>
      </c>
      <c r="D6" s="268">
        <f>SUM(B6-A6)</f>
        <v>20000</v>
      </c>
      <c r="E6" s="268">
        <f>(D6*C6)</f>
        <v>8200</v>
      </c>
      <c r="F6" s="261"/>
      <c r="G6" s="262"/>
      <c r="H6" s="262"/>
      <c r="I6" s="263"/>
    </row>
    <row r="7" spans="1:9" ht="12.75">
      <c r="A7" s="270">
        <v>75000</v>
      </c>
      <c r="B7" s="271"/>
      <c r="C7" s="272">
        <v>0.43</v>
      </c>
      <c r="D7" s="271"/>
      <c r="E7" s="273"/>
      <c r="F7" s="261"/>
      <c r="G7" s="262"/>
      <c r="H7" s="262"/>
      <c r="I7" s="263"/>
    </row>
    <row r="8" spans="1:9" ht="12.75">
      <c r="A8" s="274"/>
      <c r="B8" s="261"/>
      <c r="C8" s="261"/>
      <c r="D8" s="261"/>
      <c r="E8" s="261"/>
      <c r="F8" s="261"/>
      <c r="G8" s="262"/>
      <c r="H8" s="262"/>
      <c r="I8" s="263"/>
    </row>
    <row r="9" spans="1:9" ht="12.75">
      <c r="A9" s="274"/>
      <c r="B9" s="261"/>
      <c r="C9" s="261"/>
      <c r="D9" s="260" t="s">
        <v>182</v>
      </c>
      <c r="E9" s="260" t="s">
        <v>181</v>
      </c>
      <c r="F9" s="261"/>
      <c r="G9" s="262"/>
      <c r="H9" s="262"/>
      <c r="I9" s="263"/>
    </row>
    <row r="10" spans="1:9" ht="12.75">
      <c r="A10" s="274"/>
      <c r="B10" s="261"/>
      <c r="C10" s="261"/>
      <c r="D10" s="265">
        <f>IF(E1&lt;D3,E1,D3)</f>
        <v>13218.149400000002</v>
      </c>
      <c r="E10" s="265">
        <f>(D10*C3)</f>
        <v>3040.1743620000007</v>
      </c>
      <c r="F10" s="261"/>
      <c r="G10" s="262"/>
      <c r="H10" s="262"/>
      <c r="I10" s="263"/>
    </row>
    <row r="11" spans="1:9" ht="12.75">
      <c r="A11" s="274"/>
      <c r="B11" s="261"/>
      <c r="C11" s="261"/>
      <c r="D11" s="268">
        <f>IF(E1-D3&gt;D4,D4,IF(E1-D3&lt;=0,0,E1-D3))</f>
        <v>0</v>
      </c>
      <c r="E11" s="268">
        <f>(D11*C4)</f>
        <v>0</v>
      </c>
      <c r="F11" s="370"/>
      <c r="G11" s="262"/>
      <c r="H11" s="262"/>
      <c r="I11" s="263"/>
    </row>
    <row r="12" spans="1:9" ht="12.75">
      <c r="A12" s="274"/>
      <c r="B12" s="261"/>
      <c r="C12" s="261"/>
      <c r="D12" s="268">
        <f>IF(E1-D3-D4&gt;D5,D5,IF(E1-D3-D4&lt;=0,0,E1-D3-D4))</f>
        <v>0</v>
      </c>
      <c r="E12" s="268">
        <f>(D12*C5)</f>
        <v>0</v>
      </c>
      <c r="F12" s="261"/>
      <c r="G12" s="262"/>
      <c r="H12" s="262"/>
      <c r="I12" s="263"/>
    </row>
    <row r="13" spans="1:9" ht="12.75">
      <c r="A13" s="274"/>
      <c r="B13" s="261"/>
      <c r="C13" s="261"/>
      <c r="D13" s="268">
        <f>IF(E1-D3-D4-D5&gt;D6,D6,IF(E1-D3-D4-D5&lt;=0,0,E1-D3-D4-D5))</f>
        <v>0</v>
      </c>
      <c r="E13" s="268">
        <f>(D13*C6)</f>
        <v>0</v>
      </c>
      <c r="F13" s="261"/>
      <c r="G13" s="262"/>
      <c r="H13" s="262"/>
      <c r="I13" s="263"/>
    </row>
    <row r="14" spans="1:9" ht="12.75">
      <c r="A14" s="274"/>
      <c r="B14" s="261"/>
      <c r="C14" s="261"/>
      <c r="D14" s="271">
        <f>IF(E1&gt;D3+D4+D5+D6,E1-D3-D4-D5-D6,0)</f>
        <v>0</v>
      </c>
      <c r="E14" s="271">
        <f>(D14*C7)</f>
        <v>0</v>
      </c>
      <c r="F14" s="261"/>
      <c r="G14" s="262"/>
      <c r="H14" s="262"/>
      <c r="I14" s="263"/>
    </row>
    <row r="15" spans="1:9" ht="12.75">
      <c r="A15" s="274"/>
      <c r="B15" s="261"/>
      <c r="C15" s="261"/>
      <c r="D15" s="261"/>
      <c r="E15" s="261"/>
      <c r="F15" s="261"/>
      <c r="G15" s="262"/>
      <c r="H15" s="262"/>
      <c r="I15" s="263"/>
    </row>
    <row r="16" spans="1:9" ht="12.75">
      <c r="A16" s="389" t="s">
        <v>183</v>
      </c>
      <c r="B16" s="389"/>
      <c r="C16" s="389"/>
      <c r="D16" s="389"/>
      <c r="E16" s="389"/>
      <c r="F16" s="261"/>
      <c r="G16" s="262"/>
      <c r="H16" s="262"/>
      <c r="I16" s="263"/>
    </row>
    <row r="17" spans="1:9" ht="32.25">
      <c r="A17" s="259" t="s">
        <v>177</v>
      </c>
      <c r="B17" s="260" t="s">
        <v>178</v>
      </c>
      <c r="C17" s="276" t="s">
        <v>184</v>
      </c>
      <c r="D17" s="277"/>
      <c r="E17" s="261"/>
      <c r="F17" s="261"/>
      <c r="G17" s="262"/>
      <c r="H17" s="262"/>
      <c r="I17" s="263"/>
    </row>
    <row r="18" spans="1:9" ht="12.75">
      <c r="A18" s="278">
        <v>29000</v>
      </c>
      <c r="B18" s="279">
        <v>29200</v>
      </c>
      <c r="C18" s="238">
        <v>10</v>
      </c>
      <c r="D18" s="260" t="s">
        <v>185</v>
      </c>
      <c r="E18" s="280">
        <f>IF(E1&lt;=15000,(800-(110*E1/15000)),0)</f>
        <v>703.0669044</v>
      </c>
      <c r="F18" s="281">
        <f>IF(AND(E1&gt;29000,E1&lt;29200),10,0)</f>
        <v>0</v>
      </c>
      <c r="G18" s="262"/>
      <c r="H18" s="262"/>
      <c r="I18" s="263"/>
    </row>
    <row r="19" spans="1:9" ht="12.75">
      <c r="A19" s="282">
        <v>29200</v>
      </c>
      <c r="B19" s="283">
        <v>34700</v>
      </c>
      <c r="C19" s="284">
        <v>20</v>
      </c>
      <c r="D19" s="285"/>
      <c r="E19" s="286">
        <f>IF(AND(E1&gt;15000,E1&lt;40000),690,0)</f>
        <v>0</v>
      </c>
      <c r="F19" s="281">
        <f>IF(AND(E1&gt;29200,E1&lt;34700),20,0)</f>
        <v>0</v>
      </c>
      <c r="G19" s="262"/>
      <c r="H19" s="262"/>
      <c r="I19" s="263"/>
    </row>
    <row r="20" spans="1:9" ht="12.75">
      <c r="A20" s="282">
        <v>34700</v>
      </c>
      <c r="B20" s="283">
        <v>35000</v>
      </c>
      <c r="C20" s="284">
        <v>30</v>
      </c>
      <c r="D20" s="285"/>
      <c r="E20" s="286">
        <f>IF(AND(E1&gt;=40000,E1&lt;80000),(690*(80000-E1)/40000),0)</f>
        <v>0</v>
      </c>
      <c r="F20" s="281">
        <f>IF(AND(E1&gt;34700,E1&lt;35000),30,0)</f>
        <v>0</v>
      </c>
      <c r="G20" s="262"/>
      <c r="H20" s="262"/>
      <c r="I20" s="263"/>
    </row>
    <row r="21" spans="1:9" ht="12.75">
      <c r="A21" s="282">
        <v>35000</v>
      </c>
      <c r="B21" s="283">
        <v>35100</v>
      </c>
      <c r="C21" s="284">
        <v>20</v>
      </c>
      <c r="D21" s="273"/>
      <c r="E21" s="287">
        <f>SUM(E18:E20)</f>
        <v>703.0669044</v>
      </c>
      <c r="F21" s="281">
        <f>IF(AND(E1&gt;35000,E1&lt;35100),20,0)</f>
        <v>0</v>
      </c>
      <c r="G21" s="262"/>
      <c r="H21" s="262"/>
      <c r="I21" s="263"/>
    </row>
    <row r="22" spans="1:9" ht="12.75">
      <c r="A22" s="288">
        <v>35100</v>
      </c>
      <c r="B22" s="289">
        <v>35200</v>
      </c>
      <c r="C22" s="290">
        <v>10</v>
      </c>
      <c r="D22" s="291"/>
      <c r="E22" s="291"/>
      <c r="F22" s="281">
        <f>IF(AND(E1&gt;35100,E1&lt;35200),10,0)</f>
        <v>0</v>
      </c>
      <c r="G22" s="262"/>
      <c r="H22" s="262"/>
      <c r="I22" s="263"/>
    </row>
    <row r="23" spans="1:9" ht="12.75">
      <c r="A23" s="274"/>
      <c r="B23" s="261"/>
      <c r="C23" s="261"/>
      <c r="D23" s="384" t="s">
        <v>186</v>
      </c>
      <c r="E23" s="384"/>
      <c r="F23" s="281">
        <f>SUM(E21+SUM(F18:F22))</f>
        <v>703.0669044</v>
      </c>
      <c r="G23" s="262"/>
      <c r="H23" s="262"/>
      <c r="I23" s="263"/>
    </row>
    <row r="24" spans="1:9" ht="12.75">
      <c r="A24" s="274"/>
      <c r="B24" s="261"/>
      <c r="C24" s="261"/>
      <c r="D24" s="261"/>
      <c r="E24" s="261"/>
      <c r="F24" s="261"/>
      <c r="G24" s="262"/>
      <c r="H24" s="262"/>
      <c r="I24" s="263"/>
    </row>
    <row r="25" spans="1:9" ht="12.75">
      <c r="A25" s="389" t="s">
        <v>187</v>
      </c>
      <c r="B25" s="389"/>
      <c r="C25" s="389"/>
      <c r="D25" s="260" t="s">
        <v>188</v>
      </c>
      <c r="E25" s="261"/>
      <c r="F25" s="261"/>
      <c r="G25" s="293">
        <f>(B26*(D26/2)*(95000+(15000*(D28-1)-E1)))</f>
        <v>0</v>
      </c>
      <c r="H25" s="293">
        <f>(B26*D26)*(95000+(15000*(D28-1)-E1))</f>
        <v>0</v>
      </c>
      <c r="I25" s="263"/>
    </row>
    <row r="26" spans="1:9" ht="12.75">
      <c r="A26" s="294" t="s">
        <v>189</v>
      </c>
      <c r="B26" s="265">
        <v>1220</v>
      </c>
      <c r="C26" s="295">
        <f>inp!B4</f>
        <v>1</v>
      </c>
      <c r="D26" s="230">
        <f>inp!D4</f>
        <v>0</v>
      </c>
      <c r="E26" s="296">
        <f>IF(AND(D26&gt;0,C26=1),(G25/G26),H25/H26)</f>
        <v>0</v>
      </c>
      <c r="F26" s="296">
        <f>IF(AND(D28&gt;3,C26=1,D26&gt;0),((B26+200)*(D28/2)*(95000+(15000*(D28-1)-E1)))/(95000+(15000*(D28-1))),0)</f>
        <v>0</v>
      </c>
      <c r="G26" s="293">
        <f>(95000+(15000*(D28-1)))</f>
        <v>80000</v>
      </c>
      <c r="H26" s="297">
        <f>(95000+(15000*(D28-1)))</f>
        <v>80000</v>
      </c>
      <c r="I26" s="263"/>
    </row>
    <row r="27" spans="1:9" ht="12.75">
      <c r="A27" s="298" t="s">
        <v>190</v>
      </c>
      <c r="B27" s="271">
        <v>950</v>
      </c>
      <c r="C27" s="299">
        <f>inp!B5</f>
        <v>1</v>
      </c>
      <c r="D27" s="230">
        <v>0</v>
      </c>
      <c r="E27" s="300">
        <f>IF(AND(D27&gt;0,C27=1),(G27/G28),(H27/H28))</f>
        <v>0</v>
      </c>
      <c r="F27" s="300">
        <f>IF(AND(D28&gt;3,C27=1,D27&gt;0),((B27+200)*(D28/2)*(95000+(15000*(D28-1)-E1)))/(95000+(15000*(D28-1))),0)</f>
        <v>0</v>
      </c>
      <c r="G27" s="301">
        <f>B27*(D27/2)*(95000+(15000*(D28-1)-E1))</f>
        <v>0</v>
      </c>
      <c r="H27" s="301">
        <f>(B27*D27)*(95000+(15000*(D28-1)-E1))</f>
        <v>0</v>
      </c>
      <c r="I27" s="263"/>
    </row>
    <row r="28" spans="1:9" ht="12.75">
      <c r="A28" s="302"/>
      <c r="B28" s="303"/>
      <c r="C28" s="304" t="s">
        <v>164</v>
      </c>
      <c r="D28" s="230">
        <f>SUM(D26:D27)</f>
        <v>0</v>
      </c>
      <c r="E28" s="305">
        <f>SUM(E26+E27)</f>
        <v>0</v>
      </c>
      <c r="F28" s="305">
        <f>SUM(F26:F27)</f>
        <v>0</v>
      </c>
      <c r="G28" s="301">
        <f>(95000+(15000*(D28-1)))</f>
        <v>80000</v>
      </c>
      <c r="H28" s="301">
        <f>(95000+(15000*(D28-1)))</f>
        <v>80000</v>
      </c>
      <c r="I28" s="263"/>
    </row>
    <row r="29" spans="1:9" ht="12.75">
      <c r="A29" s="389" t="s">
        <v>191</v>
      </c>
      <c r="B29" s="389"/>
      <c r="C29" s="389"/>
      <c r="D29" s="260" t="s">
        <v>188</v>
      </c>
      <c r="E29" s="261"/>
      <c r="F29" s="261"/>
      <c r="G29" s="306">
        <f>(B30*(D30/2)*(95000+(15000*(D32-1)-E1)))</f>
        <v>0</v>
      </c>
      <c r="H29" s="306">
        <f>(B30*D30)*(95000+(15000*(D32-1)-E1))</f>
        <v>0</v>
      </c>
      <c r="I29" s="263"/>
    </row>
    <row r="30" spans="1:9" ht="12.75">
      <c r="A30" s="294" t="s">
        <v>189</v>
      </c>
      <c r="B30" s="265">
        <f>B26+400</f>
        <v>1620</v>
      </c>
      <c r="C30" s="307">
        <f>inp!B6</f>
        <v>1</v>
      </c>
      <c r="D30" s="230">
        <f>inp!D6</f>
        <v>0</v>
      </c>
      <c r="E30" s="296">
        <f>IF(AND(D30&gt;0,C30=1),(G29/G30),H29/H30)</f>
        <v>0</v>
      </c>
      <c r="F30" s="261"/>
      <c r="G30" s="306">
        <f>(95000+(15000*(D32-1)))</f>
        <v>80000</v>
      </c>
      <c r="H30" s="308">
        <f>(95000+(15000*(D32-1)))</f>
        <v>80000</v>
      </c>
      <c r="I30" s="263"/>
    </row>
    <row r="31" spans="1:9" ht="12.75">
      <c r="A31" s="298" t="s">
        <v>190</v>
      </c>
      <c r="B31" s="271">
        <f>B27+400</f>
        <v>1350</v>
      </c>
      <c r="C31" s="307">
        <f>inp!B7</f>
        <v>1</v>
      </c>
      <c r="D31" s="230">
        <f>inp!D7</f>
        <v>0</v>
      </c>
      <c r="E31" s="231">
        <f>IF(AND(D31&gt;0,C31=1),(G31/G32),H31/H32)</f>
        <v>0</v>
      </c>
      <c r="F31" s="261"/>
      <c r="G31" s="309">
        <f>B31*(D31/2)*(95000+(15000*(D32-1)-E1))</f>
        <v>0</v>
      </c>
      <c r="H31" s="309">
        <f>(B31*D31)*(95000+(15000*(D32-1)-E1))</f>
        <v>0</v>
      </c>
      <c r="I31" s="263"/>
    </row>
    <row r="32" spans="1:9" ht="12.75">
      <c r="A32" s="302"/>
      <c r="B32" s="310"/>
      <c r="C32" s="304" t="s">
        <v>164</v>
      </c>
      <c r="D32" s="311">
        <f>SUM(D30:D31)</f>
        <v>0</v>
      </c>
      <c r="E32" s="305">
        <f>SUM(E30:E31)</f>
        <v>0</v>
      </c>
      <c r="F32" s="261"/>
      <c r="G32" s="309">
        <f>(95000+(15000*(D32-1)))</f>
        <v>80000</v>
      </c>
      <c r="H32" s="309">
        <f>(95000+(15000*(D32-1)))</f>
        <v>80000</v>
      </c>
      <c r="I32" s="263"/>
    </row>
    <row r="33" spans="1:9" ht="12.75">
      <c r="A33" s="391" t="s">
        <v>192</v>
      </c>
      <c r="B33" s="391"/>
      <c r="C33" s="391"/>
      <c r="D33" s="391"/>
      <c r="E33" s="312">
        <f>SUM(E28+E32)</f>
        <v>0</v>
      </c>
      <c r="F33" s="261"/>
      <c r="G33" s="313"/>
      <c r="H33" s="313"/>
      <c r="I33" s="263"/>
    </row>
    <row r="34" spans="1:9" ht="12.75">
      <c r="A34" s="388"/>
      <c r="B34" s="388"/>
      <c r="C34" s="388"/>
      <c r="D34" s="388"/>
      <c r="E34" s="314"/>
      <c r="F34" s="261"/>
      <c r="G34" s="313"/>
      <c r="H34" s="313"/>
      <c r="I34" s="263"/>
    </row>
    <row r="35" spans="1:9" ht="12.75">
      <c r="A35" s="315"/>
      <c r="B35" s="316"/>
      <c r="C35" s="316"/>
      <c r="D35" s="316"/>
      <c r="E35" s="317"/>
      <c r="F35" s="261"/>
      <c r="G35" s="313"/>
      <c r="H35" s="313"/>
      <c r="I35" s="263"/>
    </row>
    <row r="36" spans="1:9" ht="12.75">
      <c r="A36" s="389" t="s">
        <v>193</v>
      </c>
      <c r="B36" s="389"/>
      <c r="C36" s="389"/>
      <c r="D36" s="231">
        <f>750*(80000-E1)/80000</f>
        <v>626.079849375</v>
      </c>
      <c r="E36" s="261"/>
      <c r="F36" s="261"/>
      <c r="G36" s="262"/>
      <c r="H36" s="262"/>
      <c r="I36" s="263"/>
    </row>
    <row r="37" spans="1:9" ht="12.75">
      <c r="A37" s="274"/>
      <c r="B37" s="261"/>
      <c r="C37" s="261"/>
      <c r="D37" s="261"/>
      <c r="E37" s="261"/>
      <c r="F37" s="261"/>
      <c r="G37" s="262"/>
      <c r="H37" s="262"/>
      <c r="I37" s="263"/>
    </row>
    <row r="38" spans="1:9" ht="12.75">
      <c r="A38" s="389" t="s">
        <v>194</v>
      </c>
      <c r="B38" s="389"/>
      <c r="C38" s="389"/>
      <c r="D38" s="261"/>
      <c r="E38" s="261"/>
      <c r="F38" s="261"/>
      <c r="G38" s="262"/>
      <c r="H38" s="262"/>
      <c r="I38" s="263"/>
    </row>
    <row r="39" spans="1:9" ht="12.75">
      <c r="A39" s="264">
        <v>0</v>
      </c>
      <c r="B39" s="265">
        <v>8000</v>
      </c>
      <c r="C39" s="318">
        <f>IF(AND(inp!H3="SI",E1&lt;=8000),1840,0)</f>
        <v>0</v>
      </c>
      <c r="D39" s="261"/>
      <c r="E39" s="261"/>
      <c r="F39" s="261"/>
      <c r="G39" s="262"/>
      <c r="H39" s="262"/>
      <c r="I39" s="263"/>
    </row>
    <row r="40" spans="1:9" ht="12.75">
      <c r="A40" s="267">
        <v>8001</v>
      </c>
      <c r="B40" s="268">
        <v>28000</v>
      </c>
      <c r="C40" s="319">
        <f>IF(AND(inp!H3="SI",E1&gt;8000,E1&lt;=28000),978+(902*(28000-E1)/20000),0)</f>
        <v>1644.6614620599998</v>
      </c>
      <c r="D40" s="261"/>
      <c r="E40" s="261"/>
      <c r="F40" s="261"/>
      <c r="G40" s="262"/>
      <c r="H40" s="262"/>
      <c r="I40" s="263"/>
    </row>
    <row r="41" spans="1:9" ht="12.75">
      <c r="A41" s="270">
        <v>28001</v>
      </c>
      <c r="B41" s="271">
        <v>55000</v>
      </c>
      <c r="C41" s="320">
        <f>IF(AND(inp!H3="SI",E1&gt;28001,F2&lt;=55000),(978*(55000-F2)/27000),0)</f>
        <v>0</v>
      </c>
      <c r="D41" s="281">
        <f>SUM(C39:C41)+SUM(D45:D49)</f>
        <v>1644.6614620599998</v>
      </c>
      <c r="E41" s="261"/>
      <c r="F41" s="261"/>
      <c r="G41" s="262"/>
      <c r="H41" s="262"/>
      <c r="I41" s="263"/>
    </row>
    <row r="42" spans="1:9" ht="12.75">
      <c r="A42" s="274"/>
      <c r="B42" s="261"/>
      <c r="C42" s="261"/>
      <c r="D42" s="261"/>
      <c r="E42" s="261"/>
      <c r="F42" s="261"/>
      <c r="G42" s="262"/>
      <c r="H42" s="262"/>
      <c r="I42" s="263"/>
    </row>
    <row r="43" spans="1:9" ht="12.75">
      <c r="A43" s="389" t="s">
        <v>195</v>
      </c>
      <c r="B43" s="389"/>
      <c r="C43" s="389"/>
      <c r="D43" s="389"/>
      <c r="E43" s="261"/>
      <c r="F43" s="261"/>
      <c r="G43" s="262"/>
      <c r="H43" s="262"/>
      <c r="I43" s="263"/>
    </row>
    <row r="44" spans="1:9" ht="32.25">
      <c r="A44" s="275" t="s">
        <v>177</v>
      </c>
      <c r="B44" s="292" t="s">
        <v>178</v>
      </c>
      <c r="C44" s="276" t="s">
        <v>196</v>
      </c>
      <c r="D44" s="292"/>
      <c r="E44" s="261"/>
      <c r="F44" s="261"/>
      <c r="G44" s="262"/>
      <c r="H44" s="262"/>
      <c r="I44" s="263"/>
    </row>
    <row r="45" spans="1:9" ht="12.75">
      <c r="A45" s="321">
        <v>23000</v>
      </c>
      <c r="B45" s="322">
        <v>24000</v>
      </c>
      <c r="C45" s="238">
        <v>10</v>
      </c>
      <c r="D45" s="323">
        <f>IF(AND(E1&gt;23000,E1&lt;24000),(D41+10),0)</f>
        <v>0</v>
      </c>
      <c r="E45" s="261"/>
      <c r="F45" s="261"/>
      <c r="G45" s="262"/>
      <c r="H45" s="262"/>
      <c r="I45" s="263"/>
    </row>
    <row r="46" spans="1:9" ht="12.75">
      <c r="A46" s="324">
        <v>24000</v>
      </c>
      <c r="B46" s="325">
        <v>25000</v>
      </c>
      <c r="C46" s="284">
        <v>20</v>
      </c>
      <c r="D46" s="326">
        <f>IF(AND(E1&gt;24000,E1&lt;25000),(D41+20),0)</f>
        <v>0</v>
      </c>
      <c r="E46" s="261"/>
      <c r="F46" s="261"/>
      <c r="G46" s="262"/>
      <c r="H46" s="262"/>
      <c r="I46" s="263"/>
    </row>
    <row r="47" spans="1:9" ht="12.75">
      <c r="A47" s="324">
        <v>25000</v>
      </c>
      <c r="B47" s="325">
        <v>26000</v>
      </c>
      <c r="C47" s="284">
        <v>30</v>
      </c>
      <c r="D47" s="326">
        <f>IF(AND(E1&gt;25000,E1&lt;26000),(D41+30),0)</f>
        <v>0</v>
      </c>
      <c r="E47" s="261"/>
      <c r="F47" s="261"/>
      <c r="G47" s="262"/>
      <c r="H47" s="262"/>
      <c r="I47" s="263"/>
    </row>
    <row r="48" spans="1:9" ht="12.75">
      <c r="A48" s="324">
        <v>26000</v>
      </c>
      <c r="B48" s="325">
        <v>27700</v>
      </c>
      <c r="C48" s="284">
        <v>40</v>
      </c>
      <c r="D48" s="327">
        <f>IF(AND(E1&gt;26000,E1&lt;27700),(D41+40),0)</f>
        <v>0</v>
      </c>
      <c r="E48" s="261"/>
      <c r="F48" s="261"/>
      <c r="G48" s="262"/>
      <c r="H48" s="262"/>
      <c r="I48" s="263"/>
    </row>
    <row r="49" spans="1:9" ht="12.75">
      <c r="A49" s="328">
        <v>27700</v>
      </c>
      <c r="B49" s="329">
        <v>28000</v>
      </c>
      <c r="C49" s="290">
        <v>25</v>
      </c>
      <c r="D49" s="330">
        <f>IF(AND(E1&gt;27700,E1&lt;28000),(D41+25),0)</f>
        <v>0</v>
      </c>
      <c r="E49" s="261"/>
      <c r="F49" s="261"/>
      <c r="G49" s="262"/>
      <c r="H49" s="262"/>
      <c r="I49" s="263"/>
    </row>
    <row r="50" spans="1:9" ht="12.75">
      <c r="A50" s="274"/>
      <c r="B50" s="261"/>
      <c r="C50" s="261"/>
      <c r="D50" s="261"/>
      <c r="E50" s="261"/>
      <c r="F50" s="261"/>
      <c r="G50" s="262"/>
      <c r="H50" s="262"/>
      <c r="I50" s="263"/>
    </row>
    <row r="51" spans="1:9" ht="12.75">
      <c r="A51" s="389" t="s">
        <v>197</v>
      </c>
      <c r="B51" s="389"/>
      <c r="C51" s="389"/>
      <c r="D51" s="384" t="s">
        <v>198</v>
      </c>
      <c r="E51" s="384"/>
      <c r="F51" s="384"/>
      <c r="G51" s="262"/>
      <c r="H51" s="262"/>
      <c r="I51" s="263"/>
    </row>
    <row r="52" spans="1:9" ht="12.75">
      <c r="A52" s="331" t="s">
        <v>177</v>
      </c>
      <c r="B52" s="332" t="s">
        <v>178</v>
      </c>
      <c r="C52" s="332" t="s">
        <v>185</v>
      </c>
      <c r="D52" s="332" t="s">
        <v>199</v>
      </c>
      <c r="E52" s="332" t="s">
        <v>200</v>
      </c>
      <c r="F52" s="332"/>
      <c r="G52" s="262"/>
      <c r="H52" s="262"/>
      <c r="I52" s="263"/>
    </row>
    <row r="53" spans="1:9" ht="12.75">
      <c r="A53" s="264">
        <v>0</v>
      </c>
      <c r="B53" s="265">
        <v>7500</v>
      </c>
      <c r="C53" s="265">
        <f>IF(AND(inp!H5="SI",E1&lt;=7500),1725,0)</f>
        <v>0</v>
      </c>
      <c r="D53" s="265">
        <v>0</v>
      </c>
      <c r="E53" s="265">
        <v>7750</v>
      </c>
      <c r="F53" s="265">
        <f>IF(AND(inp!H6="SI",E1&lt;=7500),1783,0)</f>
        <v>0</v>
      </c>
      <c r="G53" s="262"/>
      <c r="H53" s="262"/>
      <c r="I53" s="263"/>
    </row>
    <row r="54" spans="1:9" ht="12.75">
      <c r="A54" s="267">
        <v>7500</v>
      </c>
      <c r="B54" s="268">
        <v>15000</v>
      </c>
      <c r="C54" s="268">
        <f>IF(AND(inp!H5="SI",E1&gt;7500,E1&lt;=15000),1255+(470*(15000-E1)/7500),0)</f>
        <v>0</v>
      </c>
      <c r="D54" s="268">
        <v>7750</v>
      </c>
      <c r="E54" s="268">
        <v>15000</v>
      </c>
      <c r="F54" s="268">
        <f>IF(AND(inp!H6="SI",E1&gt;7750,E1&lt;=15000),1297+(486*(15000-E1)/7250),0)</f>
        <v>0</v>
      </c>
      <c r="G54" s="262"/>
      <c r="H54" s="262"/>
      <c r="I54" s="263"/>
    </row>
    <row r="55" spans="1:9" ht="12.75">
      <c r="A55" s="267">
        <v>15000</v>
      </c>
      <c r="B55" s="268">
        <v>55000</v>
      </c>
      <c r="C55" s="271">
        <f>IF(AND(inp!H5="SI",E1&gt;15000,E1&lt;=55000),(1255*(55000-E1)/40000),0)</f>
        <v>0</v>
      </c>
      <c r="D55" s="271">
        <v>15000</v>
      </c>
      <c r="E55" s="271">
        <v>55000</v>
      </c>
      <c r="F55" s="271">
        <f>IF(AND(inp!H6="SI",E1&gt;15000,E1&lt;=55000),(1297*(55000-E1)/40000),0)</f>
        <v>0</v>
      </c>
      <c r="G55" s="262"/>
      <c r="H55" s="262"/>
      <c r="I55" s="263"/>
    </row>
    <row r="56" spans="1:9" ht="12.75">
      <c r="A56" s="384" t="s">
        <v>201</v>
      </c>
      <c r="B56" s="384"/>
      <c r="C56" s="231">
        <f>SUM(C53:C55)</f>
        <v>0</v>
      </c>
      <c r="D56" s="384" t="s">
        <v>201</v>
      </c>
      <c r="E56" s="384"/>
      <c r="F56" s="231">
        <f>SUM(F53:F55)</f>
        <v>0</v>
      </c>
      <c r="G56" s="262"/>
      <c r="H56" s="262"/>
      <c r="I56" s="263"/>
    </row>
    <row r="57" spans="1:9" ht="12.75">
      <c r="A57" s="385" t="s">
        <v>202</v>
      </c>
      <c r="B57" s="385"/>
      <c r="C57" s="385"/>
      <c r="D57" s="261"/>
      <c r="E57" s="261"/>
      <c r="F57" s="261"/>
      <c r="G57" s="262"/>
      <c r="H57" s="262"/>
      <c r="I57" s="263"/>
    </row>
    <row r="58" spans="1:9" ht="12.75">
      <c r="A58" s="331" t="s">
        <v>177</v>
      </c>
      <c r="B58" s="332" t="s">
        <v>178</v>
      </c>
      <c r="C58" s="332" t="s">
        <v>185</v>
      </c>
      <c r="D58" s="261"/>
      <c r="E58" s="261"/>
      <c r="F58" s="261"/>
      <c r="G58" s="262"/>
      <c r="H58" s="262"/>
      <c r="I58" s="263"/>
    </row>
    <row r="59" spans="1:9" ht="12.75">
      <c r="A59" s="333">
        <v>0</v>
      </c>
      <c r="B59" s="300">
        <v>4800</v>
      </c>
      <c r="C59" s="300">
        <f>IF(AND(inp!H4="SI",E1&lt;4800),1104,0)</f>
        <v>0</v>
      </c>
      <c r="D59" s="261"/>
      <c r="E59" s="261"/>
      <c r="F59" s="261"/>
      <c r="G59" s="262"/>
      <c r="H59" s="262"/>
      <c r="I59" s="263"/>
    </row>
    <row r="60" spans="1:9" ht="12.75">
      <c r="A60" s="264">
        <v>4800</v>
      </c>
      <c r="B60" s="265">
        <v>55000</v>
      </c>
      <c r="C60" s="300">
        <f>IF(AND(inp!H4="SI",E1&gt;=4800,E1&lt;=55000),(1104*(55000-E1)/50200),0)</f>
        <v>918.8677900876494</v>
      </c>
      <c r="D60" s="261"/>
      <c r="E60" s="261"/>
      <c r="F60" s="261"/>
      <c r="G60" s="262"/>
      <c r="H60" s="262"/>
      <c r="I60" s="263"/>
    </row>
    <row r="61" spans="1:9" ht="12.75">
      <c r="A61" s="386" t="s">
        <v>201</v>
      </c>
      <c r="B61" s="386"/>
      <c r="C61" s="234">
        <f>SUM(C59:C60)</f>
        <v>918.8677900876494</v>
      </c>
      <c r="D61" s="387" t="s">
        <v>203</v>
      </c>
      <c r="E61" s="387"/>
      <c r="F61" s="334">
        <f>SUM(D41+C56+F56+C61)</f>
        <v>2563.5292521476495</v>
      </c>
      <c r="G61" s="335"/>
      <c r="H61" s="335"/>
      <c r="I61" s="263"/>
    </row>
    <row r="62" spans="1:9" ht="12.75">
      <c r="A62" s="336"/>
      <c r="B62" s="337"/>
      <c r="C62" s="337"/>
      <c r="D62" s="337"/>
      <c r="E62" s="337"/>
      <c r="F62" s="337"/>
      <c r="G62" s="335"/>
      <c r="H62" s="335"/>
      <c r="I62" s="263"/>
    </row>
    <row r="63" spans="1:9" ht="13.5" thickBot="1">
      <c r="A63" s="338"/>
      <c r="B63" s="339"/>
      <c r="C63" s="339"/>
      <c r="D63" s="339"/>
      <c r="E63" s="339"/>
      <c r="F63" s="339"/>
      <c r="G63" s="339"/>
      <c r="H63" s="339"/>
      <c r="I63" s="340"/>
    </row>
    <row r="73" spans="2:3" ht="12.75">
      <c r="B73" s="1"/>
      <c r="C73" s="341"/>
    </row>
    <row r="74" spans="2:3" ht="12.75">
      <c r="B74" s="1"/>
      <c r="C74" s="341"/>
    </row>
    <row r="75" spans="2:3" ht="12.75">
      <c r="B75" s="1"/>
      <c r="C75" s="1"/>
    </row>
  </sheetData>
  <sheetProtection/>
  <mergeCells count="17">
    <mergeCell ref="D51:F51"/>
    <mergeCell ref="A1:C1"/>
    <mergeCell ref="A16:E16"/>
    <mergeCell ref="D23:E23"/>
    <mergeCell ref="A25:C25"/>
    <mergeCell ref="A29:C29"/>
    <mergeCell ref="A33:D33"/>
    <mergeCell ref="A56:B56"/>
    <mergeCell ref="D56:E56"/>
    <mergeCell ref="A57:C57"/>
    <mergeCell ref="A61:B61"/>
    <mergeCell ref="D61:E61"/>
    <mergeCell ref="A34:D34"/>
    <mergeCell ref="A36:C36"/>
    <mergeCell ref="A38:C38"/>
    <mergeCell ref="A43:D43"/>
    <mergeCell ref="A51:C51"/>
  </mergeCells>
  <printOptions/>
  <pageMargins left="0.75" right="0.75" top="1" bottom="1" header="0.5" footer="0.5"/>
  <pageSetup horizontalDpi="1200" verticalDpi="12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6.57421875" style="0" customWidth="1"/>
    <col min="2" max="2" width="6.140625" style="0" customWidth="1"/>
    <col min="4" max="4" width="8.57421875" style="0" customWidth="1"/>
    <col min="6" max="6" width="10.421875" style="0" customWidth="1"/>
    <col min="7" max="7" width="10.7109375" style="0" customWidth="1"/>
    <col min="8" max="8" width="7.140625" style="0" customWidth="1"/>
    <col min="9" max="9" width="11.00390625" style="0" customWidth="1"/>
  </cols>
  <sheetData>
    <row r="1" spans="1:10" ht="13.5" thickBot="1">
      <c r="A1" s="223" t="s">
        <v>149</v>
      </c>
      <c r="B1" s="224"/>
      <c r="C1" s="224"/>
      <c r="D1" s="224"/>
      <c r="E1" s="224"/>
      <c r="F1" s="225"/>
      <c r="G1" s="225"/>
      <c r="H1" s="225"/>
      <c r="I1" s="225"/>
      <c r="J1" s="226"/>
    </row>
    <row r="2" spans="1:10" ht="12.75">
      <c r="A2" s="398" t="s">
        <v>150</v>
      </c>
      <c r="B2" s="398"/>
      <c r="C2" s="227"/>
      <c r="D2" s="227"/>
      <c r="E2" s="227"/>
      <c r="F2" s="399" t="s">
        <v>151</v>
      </c>
      <c r="G2" s="399"/>
      <c r="H2" s="399"/>
      <c r="I2" s="399"/>
      <c r="J2" s="228"/>
    </row>
    <row r="3" spans="1:10" ht="12.75">
      <c r="A3" s="229" t="s">
        <v>152</v>
      </c>
      <c r="B3" s="230" t="s">
        <v>204</v>
      </c>
      <c r="C3" s="231">
        <v>0</v>
      </c>
      <c r="D3" s="232"/>
      <c r="E3" s="233"/>
      <c r="F3" s="400" t="s">
        <v>154</v>
      </c>
      <c r="G3" s="400"/>
      <c r="H3" s="230" t="s">
        <v>153</v>
      </c>
      <c r="I3" s="234">
        <f>'La busta paga'!G27*12</f>
        <v>13218.149400000002</v>
      </c>
      <c r="J3" s="228"/>
    </row>
    <row r="4" spans="1:10" ht="12.75">
      <c r="A4" s="229" t="s">
        <v>155</v>
      </c>
      <c r="B4" s="230">
        <v>1</v>
      </c>
      <c r="C4" s="235" t="s">
        <v>156</v>
      </c>
      <c r="D4" s="236">
        <v>0</v>
      </c>
      <c r="E4" s="233"/>
      <c r="F4" s="401" t="s">
        <v>157</v>
      </c>
      <c r="G4" s="401"/>
      <c r="H4" s="230" t="s">
        <v>153</v>
      </c>
      <c r="I4" s="234">
        <v>0</v>
      </c>
      <c r="J4" s="228"/>
    </row>
    <row r="5" spans="1:10" ht="12.75">
      <c r="A5" s="237" t="s">
        <v>158</v>
      </c>
      <c r="B5" s="238">
        <v>1</v>
      </c>
      <c r="C5" s="239" t="s">
        <v>156</v>
      </c>
      <c r="D5" s="236">
        <v>0</v>
      </c>
      <c r="E5" s="233"/>
      <c r="F5" s="401" t="s">
        <v>159</v>
      </c>
      <c r="G5" s="401"/>
      <c r="H5" s="238" t="s">
        <v>160</v>
      </c>
      <c r="I5" s="234">
        <v>0</v>
      </c>
      <c r="J5" s="228"/>
    </row>
    <row r="6" spans="1:10" ht="12.75">
      <c r="A6" s="237" t="s">
        <v>161</v>
      </c>
      <c r="B6" s="238">
        <v>1</v>
      </c>
      <c r="C6" s="239" t="s">
        <v>156</v>
      </c>
      <c r="D6" s="236">
        <v>0</v>
      </c>
      <c r="E6" s="233"/>
      <c r="F6" s="396" t="s">
        <v>162</v>
      </c>
      <c r="G6" s="396"/>
      <c r="H6" s="238" t="s">
        <v>160</v>
      </c>
      <c r="I6" s="234">
        <v>0</v>
      </c>
      <c r="J6" s="228"/>
    </row>
    <row r="7" spans="1:10" ht="13.5" thickBot="1">
      <c r="A7" s="237" t="s">
        <v>163</v>
      </c>
      <c r="B7" s="238">
        <v>1</v>
      </c>
      <c r="C7" s="239" t="s">
        <v>156</v>
      </c>
      <c r="D7" s="240">
        <v>0</v>
      </c>
      <c r="E7" s="233"/>
      <c r="F7" s="396" t="s">
        <v>164</v>
      </c>
      <c r="G7" s="396"/>
      <c r="H7" s="393">
        <f>SUM(I3:I6)</f>
        <v>13218.149400000002</v>
      </c>
      <c r="I7" s="393"/>
      <c r="J7" s="228"/>
    </row>
    <row r="8" spans="1:10" ht="13.5" thickBot="1">
      <c r="A8" s="237" t="s">
        <v>165</v>
      </c>
      <c r="B8" s="238" t="s">
        <v>160</v>
      </c>
      <c r="C8" s="239" t="s">
        <v>156</v>
      </c>
      <c r="D8" s="241">
        <v>0</v>
      </c>
      <c r="E8" s="242"/>
      <c r="F8" s="243"/>
      <c r="G8" s="244"/>
      <c r="H8" s="245"/>
      <c r="I8" s="245"/>
      <c r="J8" s="228"/>
    </row>
    <row r="9" spans="1:10" ht="12.75">
      <c r="A9" s="229" t="s">
        <v>166</v>
      </c>
      <c r="B9" s="397">
        <f>SUM(C3+H7)</f>
        <v>13218.149400000002</v>
      </c>
      <c r="C9" s="397"/>
      <c r="D9" s="243"/>
      <c r="E9" s="246"/>
      <c r="F9" s="246"/>
      <c r="G9" s="245"/>
      <c r="H9" s="245"/>
      <c r="I9" s="245"/>
      <c r="J9" s="228"/>
    </row>
    <row r="10" spans="1:10" ht="12.75">
      <c r="A10" s="247" t="s">
        <v>167</v>
      </c>
      <c r="B10" s="248"/>
      <c r="C10" s="248"/>
      <c r="D10" s="248"/>
      <c r="E10" s="249"/>
      <c r="F10" s="249"/>
      <c r="G10" s="250"/>
      <c r="H10" s="250"/>
      <c r="I10" s="250"/>
      <c r="J10" s="228"/>
    </row>
    <row r="11" spans="1:10" ht="12.75">
      <c r="A11" s="251" t="s">
        <v>166</v>
      </c>
      <c r="B11" s="397">
        <f>B9</f>
        <v>13218.149400000002</v>
      </c>
      <c r="C11" s="397"/>
      <c r="D11" s="395" t="s">
        <v>168</v>
      </c>
      <c r="E11" s="395"/>
      <c r="F11" s="234">
        <f>tab!G1</f>
        <v>3040.1743620000007</v>
      </c>
      <c r="G11" s="250"/>
      <c r="H11" s="250"/>
      <c r="I11" s="250"/>
      <c r="J11" s="228"/>
    </row>
    <row r="12" spans="1:10" ht="12.75">
      <c r="A12" s="251" t="s">
        <v>169</v>
      </c>
      <c r="B12" s="393" t="b">
        <f>IF(B3="SI",tab!F23)</f>
        <v>0</v>
      </c>
      <c r="C12" s="393"/>
      <c r="D12" s="248"/>
      <c r="E12" s="248"/>
      <c r="F12" s="248"/>
      <c r="G12" s="250"/>
      <c r="H12" s="250"/>
      <c r="I12" s="250"/>
      <c r="J12" s="228"/>
    </row>
    <row r="13" spans="1:10" ht="12.75">
      <c r="A13" s="251" t="s">
        <v>170</v>
      </c>
      <c r="B13" s="393">
        <f>IF(SUM(D4:D8)&gt;3,tab!F8,tab!E33)</f>
        <v>0</v>
      </c>
      <c r="C13" s="393"/>
      <c r="D13" s="394"/>
      <c r="E13" s="394"/>
      <c r="F13" s="249"/>
      <c r="G13" s="250"/>
      <c r="H13" s="250"/>
      <c r="I13" s="250"/>
      <c r="J13" s="228"/>
    </row>
    <row r="14" spans="1:10" ht="12.75">
      <c r="A14" s="251" t="s">
        <v>171</v>
      </c>
      <c r="B14" s="393">
        <f>tab!F61</f>
        <v>2563.5292521476495</v>
      </c>
      <c r="C14" s="393"/>
      <c r="D14" s="395" t="s">
        <v>172</v>
      </c>
      <c r="E14" s="395"/>
      <c r="F14" s="234">
        <f>SUM(F11-SUM(B12:B15))</f>
        <v>476.6451098523512</v>
      </c>
      <c r="G14" s="250"/>
      <c r="H14" s="250"/>
      <c r="I14" s="250"/>
      <c r="J14" s="228"/>
    </row>
    <row r="15" spans="1:10" ht="12.75">
      <c r="A15" s="252" t="s">
        <v>173</v>
      </c>
      <c r="B15" s="392">
        <f>IF(B8="SI",tab!D36,0)</f>
        <v>0</v>
      </c>
      <c r="C15" s="392"/>
      <c r="D15" s="250"/>
      <c r="E15" s="250"/>
      <c r="F15" s="250"/>
      <c r="G15" s="250"/>
      <c r="H15" s="250"/>
      <c r="I15" s="250"/>
      <c r="J15" s="228"/>
    </row>
    <row r="16" spans="1:10" ht="13.5" thickBot="1">
      <c r="A16" s="253"/>
      <c r="B16" s="254"/>
      <c r="C16" s="254"/>
      <c r="D16" s="254"/>
      <c r="E16" s="254"/>
      <c r="F16" s="254"/>
      <c r="G16" s="254"/>
      <c r="H16" s="254"/>
      <c r="I16" s="254"/>
      <c r="J16" s="255"/>
    </row>
    <row r="17" spans="1:10" ht="12.75">
      <c r="A17" s="96"/>
      <c r="B17" s="96"/>
      <c r="C17" s="96"/>
      <c r="D17" s="96"/>
      <c r="E17" s="96"/>
      <c r="F17" s="96"/>
      <c r="G17" s="96"/>
      <c r="H17" s="96"/>
      <c r="I17" s="96"/>
      <c r="J17" s="96"/>
    </row>
    <row r="18" spans="1:4" ht="12.75">
      <c r="A18" s="96"/>
      <c r="B18" s="96"/>
      <c r="C18" s="96"/>
      <c r="D18" s="96"/>
    </row>
  </sheetData>
  <sheetProtection/>
  <mergeCells count="17">
    <mergeCell ref="F6:G6"/>
    <mergeCell ref="H7:I7"/>
    <mergeCell ref="B9:C9"/>
    <mergeCell ref="B11:C11"/>
    <mergeCell ref="D11:E11"/>
    <mergeCell ref="B12:C12"/>
    <mergeCell ref="A2:B2"/>
    <mergeCell ref="F2:I2"/>
    <mergeCell ref="F3:G3"/>
    <mergeCell ref="F4:G4"/>
    <mergeCell ref="F5:G5"/>
    <mergeCell ref="B15:C15"/>
    <mergeCell ref="B13:C13"/>
    <mergeCell ref="D13:E13"/>
    <mergeCell ref="B14:C14"/>
    <mergeCell ref="D14:E14"/>
    <mergeCell ref="F7:G7"/>
  </mergeCell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1"/>
  <sheetViews>
    <sheetView showGridLines="0" zoomScalePageLayoutView="0" workbookViewId="0" topLeftCell="A1">
      <selection activeCell="H4" sqref="H4"/>
    </sheetView>
  </sheetViews>
  <sheetFormatPr defaultColWidth="9.140625" defaultRowHeight="12.75"/>
  <cols>
    <col min="1" max="1" width="9.28125" style="0" bestFit="1" customWidth="1"/>
    <col min="2" max="2" width="24.140625" style="0" customWidth="1"/>
    <col min="3" max="3" width="12.57421875" style="0" customWidth="1"/>
    <col min="4" max="4" width="17.8515625" style="157" customWidth="1"/>
    <col min="5" max="5" width="12.8515625" style="157" bestFit="1" customWidth="1"/>
    <col min="6" max="6" width="10.7109375" style="0" customWidth="1"/>
    <col min="7" max="7" width="11.8515625" style="0" bestFit="1" customWidth="1"/>
    <col min="8" max="8" width="10.8515625" style="0" bestFit="1" customWidth="1"/>
  </cols>
  <sheetData>
    <row r="1" spans="1:8" ht="12.75">
      <c r="A1" s="85" t="s">
        <v>101</v>
      </c>
      <c r="B1" s="39" t="s">
        <v>102</v>
      </c>
      <c r="C1" s="39" t="s">
        <v>103</v>
      </c>
      <c r="D1" s="153" t="s">
        <v>104</v>
      </c>
      <c r="E1" s="153" t="s">
        <v>105</v>
      </c>
      <c r="F1" s="39" t="s">
        <v>128</v>
      </c>
      <c r="G1" s="39" t="s">
        <v>127</v>
      </c>
      <c r="H1" s="39" t="s">
        <v>106</v>
      </c>
    </row>
    <row r="2" spans="1:8" ht="12.75">
      <c r="A2" s="119">
        <v>13</v>
      </c>
      <c r="B2" s="71">
        <v>173</v>
      </c>
      <c r="C2" s="117">
        <v>1</v>
      </c>
      <c r="D2" s="200">
        <v>1372.9</v>
      </c>
      <c r="E2" s="199"/>
      <c r="F2" s="199"/>
      <c r="G2" s="199">
        <v>7.75</v>
      </c>
      <c r="H2" s="199">
        <f aca="true" t="shared" si="0" ref="H2:H9">SUM(D2:G2)</f>
        <v>1380.65</v>
      </c>
    </row>
    <row r="3" spans="2:8" ht="12.75">
      <c r="B3" s="98" t="s">
        <v>107</v>
      </c>
      <c r="C3" s="117">
        <v>2</v>
      </c>
      <c r="D3" s="192">
        <v>1260.87</v>
      </c>
      <c r="E3" s="199"/>
      <c r="F3" s="199"/>
      <c r="G3" s="199">
        <v>6.71</v>
      </c>
      <c r="H3" s="199">
        <f t="shared" si="0"/>
        <v>1267.58</v>
      </c>
    </row>
    <row r="4" spans="1:8" ht="12.75">
      <c r="A4" s="3"/>
      <c r="B4" s="99" t="s">
        <v>108</v>
      </c>
      <c r="C4" s="219">
        <v>3</v>
      </c>
      <c r="D4" s="220">
        <v>1209</v>
      </c>
      <c r="E4" s="221"/>
      <c r="F4" s="221"/>
      <c r="G4" s="221">
        <v>6.2</v>
      </c>
      <c r="H4" s="221">
        <f t="shared" si="0"/>
        <v>1215.2</v>
      </c>
    </row>
    <row r="5" spans="2:8" ht="12.75">
      <c r="B5" s="99" t="s">
        <v>126</v>
      </c>
      <c r="C5" s="219">
        <v>4</v>
      </c>
      <c r="D5" s="220">
        <v>1121.04</v>
      </c>
      <c r="E5" s="221"/>
      <c r="F5" s="221"/>
      <c r="G5" s="221">
        <v>5.68</v>
      </c>
      <c r="H5" s="221">
        <f t="shared" si="0"/>
        <v>1126.72</v>
      </c>
    </row>
    <row r="6" spans="2:8" ht="12.75">
      <c r="B6" s="99" t="s">
        <v>125</v>
      </c>
      <c r="C6" s="219" t="s">
        <v>129</v>
      </c>
      <c r="D6" s="220"/>
      <c r="E6" s="222">
        <f aca="true" t="shared" si="1" ref="E6:F9">E2*VLOOKUP($E$12,$E$13:$G$19,3)</f>
        <v>0</v>
      </c>
      <c r="F6" s="222">
        <f t="shared" si="1"/>
        <v>0</v>
      </c>
      <c r="G6" s="222"/>
      <c r="H6" s="221">
        <f t="shared" si="0"/>
        <v>0</v>
      </c>
    </row>
    <row r="7" spans="2:8" ht="12.75">
      <c r="B7" s="99"/>
      <c r="C7" s="219" t="s">
        <v>130</v>
      </c>
      <c r="D7" s="220"/>
      <c r="E7" s="222">
        <f t="shared" si="1"/>
        <v>0</v>
      </c>
      <c r="F7" s="222">
        <f t="shared" si="1"/>
        <v>0</v>
      </c>
      <c r="G7" s="222"/>
      <c r="H7" s="221">
        <f t="shared" si="0"/>
        <v>0</v>
      </c>
    </row>
    <row r="8" spans="2:8" ht="12.75">
      <c r="B8" s="100"/>
      <c r="C8" s="219" t="s">
        <v>131</v>
      </c>
      <c r="D8" s="220">
        <v>763.1</v>
      </c>
      <c r="E8" s="222">
        <f t="shared" si="1"/>
        <v>0</v>
      </c>
      <c r="F8" s="222">
        <f t="shared" si="1"/>
        <v>0</v>
      </c>
      <c r="G8" s="222">
        <v>4.03</v>
      </c>
      <c r="H8" s="221">
        <f t="shared" si="0"/>
        <v>767.13</v>
      </c>
    </row>
    <row r="9" spans="2:8" ht="12.75">
      <c r="B9" s="147" t="s">
        <v>109</v>
      </c>
      <c r="C9" s="118" t="s">
        <v>132</v>
      </c>
      <c r="D9" s="192"/>
      <c r="E9" s="204">
        <f t="shared" si="1"/>
        <v>0</v>
      </c>
      <c r="F9" s="204">
        <f t="shared" si="1"/>
        <v>0</v>
      </c>
      <c r="G9" s="204"/>
      <c r="H9" s="199">
        <f t="shared" si="0"/>
        <v>0</v>
      </c>
    </row>
    <row r="10" spans="2:8" ht="12.75">
      <c r="B10" s="148" t="s">
        <v>110</v>
      </c>
      <c r="C10" s="118"/>
      <c r="D10" s="192"/>
      <c r="E10" s="115"/>
      <c r="F10" s="115"/>
      <c r="G10" s="41"/>
      <c r="H10" s="163"/>
    </row>
    <row r="11" spans="2:8" ht="12.75">
      <c r="B11" s="72" t="s">
        <v>111</v>
      </c>
      <c r="C11" s="115" t="s">
        <v>112</v>
      </c>
      <c r="D11" s="205" t="s">
        <v>141</v>
      </c>
      <c r="E11" s="206"/>
      <c r="H11" s="4"/>
    </row>
    <row r="12" spans="2:8" ht="12.75">
      <c r="B12" s="72" t="s">
        <v>113</v>
      </c>
      <c r="C12" s="116" t="s">
        <v>114</v>
      </c>
      <c r="E12" s="218">
        <v>1</v>
      </c>
      <c r="F12" t="s">
        <v>133</v>
      </c>
      <c r="H12" s="4"/>
    </row>
    <row r="13" spans="2:8" ht="12.75">
      <c r="B13" s="74" t="s">
        <v>115</v>
      </c>
      <c r="C13" s="113">
        <v>0.2898</v>
      </c>
      <c r="D13" s="154"/>
      <c r="E13" s="202">
        <v>1</v>
      </c>
      <c r="F13" t="s">
        <v>134</v>
      </c>
      <c r="G13" s="201">
        <v>0.55</v>
      </c>
      <c r="H13" s="4"/>
    </row>
    <row r="14" spans="2:7" ht="12.75">
      <c r="B14" s="74" t="s">
        <v>116</v>
      </c>
      <c r="C14" s="114">
        <v>0.284</v>
      </c>
      <c r="D14" s="155">
        <f>IF('La busta paga'!E6=RETRIBUZIONI!B18,C18,C13)</f>
        <v>0.2898</v>
      </c>
      <c r="E14" s="203">
        <v>2</v>
      </c>
      <c r="F14" t="s">
        <v>135</v>
      </c>
      <c r="G14" s="201">
        <v>0.6</v>
      </c>
    </row>
    <row r="15" spans="2:8" ht="12.75">
      <c r="B15" s="74" t="s">
        <v>117</v>
      </c>
      <c r="C15" s="114">
        <v>0.001</v>
      </c>
      <c r="D15" s="156"/>
      <c r="E15" s="203">
        <v>3</v>
      </c>
      <c r="F15" t="s">
        <v>136</v>
      </c>
      <c r="G15" s="201">
        <v>0.65</v>
      </c>
      <c r="H15" s="201"/>
    </row>
    <row r="16" spans="2:7" ht="12.75">
      <c r="B16" s="97" t="s">
        <v>118</v>
      </c>
      <c r="C16" s="133">
        <v>1936.27</v>
      </c>
      <c r="D16" s="156"/>
      <c r="E16" s="203">
        <v>4</v>
      </c>
      <c r="F16" t="s">
        <v>137</v>
      </c>
      <c r="G16" s="201">
        <v>0.7</v>
      </c>
    </row>
    <row r="17" spans="2:7" ht="12.75">
      <c r="B17" s="145" t="s">
        <v>119</v>
      </c>
      <c r="C17" s="146">
        <v>26</v>
      </c>
      <c r="D17" s="156"/>
      <c r="E17" s="203">
        <v>5</v>
      </c>
      <c r="F17" t="s">
        <v>138</v>
      </c>
      <c r="G17" s="201">
        <v>0.75</v>
      </c>
    </row>
    <row r="18" spans="2:7" ht="12.75">
      <c r="B18" s="97" t="s">
        <v>120</v>
      </c>
      <c r="C18" s="152">
        <f>C13-(C13*25%)</f>
        <v>0.21735</v>
      </c>
      <c r="D18" s="155">
        <v>0.25</v>
      </c>
      <c r="E18" s="203">
        <v>6</v>
      </c>
      <c r="F18" t="s">
        <v>139</v>
      </c>
      <c r="G18" s="201">
        <v>0.85</v>
      </c>
    </row>
    <row r="19" spans="3:7" ht="12.75">
      <c r="C19" s="36"/>
      <c r="D19" s="156"/>
      <c r="E19" s="203">
        <v>7</v>
      </c>
      <c r="F19" t="s">
        <v>140</v>
      </c>
      <c r="G19" s="201">
        <v>0.9</v>
      </c>
    </row>
    <row r="20" spans="3:5" ht="12.75">
      <c r="C20" s="36"/>
      <c r="D20" s="156"/>
      <c r="E20" s="156"/>
    </row>
    <row r="21" spans="3:5" ht="12.75">
      <c r="C21" s="36"/>
      <c r="D21" s="156"/>
      <c r="E21" s="156"/>
    </row>
    <row r="22" ht="12.75">
      <c r="A22" s="4"/>
    </row>
    <row r="23" spans="1:8" ht="12.75">
      <c r="A23" s="5"/>
      <c r="B23" s="5"/>
      <c r="C23" s="5"/>
      <c r="D23" s="158"/>
      <c r="E23" s="158"/>
      <c r="F23" s="5"/>
      <c r="G23" s="5"/>
      <c r="H23" s="5"/>
    </row>
    <row r="24" spans="1:5" s="1" customFormat="1" ht="12.75">
      <c r="A24" s="162"/>
      <c r="B24" s="171"/>
      <c r="C24" s="171"/>
      <c r="D24" s="159"/>
      <c r="E24" s="83"/>
    </row>
    <row r="25" spans="1:8" s="1" customFormat="1" ht="12.75">
      <c r="A25" s="355"/>
      <c r="B25" s="355"/>
      <c r="C25" s="355"/>
      <c r="D25" s="356"/>
      <c r="E25" s="357"/>
      <c r="F25" s="354"/>
      <c r="G25" s="354"/>
      <c r="H25" s="354"/>
    </row>
    <row r="26" spans="1:5" s="1" customFormat="1" ht="12.75">
      <c r="A26" s="343"/>
      <c r="B26" s="358"/>
      <c r="C26" s="359"/>
      <c r="D26" s="360"/>
      <c r="E26" s="348"/>
    </row>
    <row r="27" spans="1:8" s="1" customFormat="1" ht="12.75">
      <c r="A27" s="355"/>
      <c r="B27" s="358"/>
      <c r="C27" s="361"/>
      <c r="D27" s="362"/>
      <c r="E27" s="348"/>
      <c r="H27" s="354"/>
    </row>
    <row r="28" spans="1:5" s="1" customFormat="1" ht="12.75">
      <c r="A28" s="343"/>
      <c r="B28" s="362"/>
      <c r="C28" s="363"/>
      <c r="D28" s="362"/>
      <c r="E28" s="348"/>
    </row>
    <row r="29" spans="1:8" s="1" customFormat="1" ht="12.75">
      <c r="A29" s="364"/>
      <c r="B29" s="362"/>
      <c r="C29" s="363"/>
      <c r="D29" s="362"/>
      <c r="E29" s="348"/>
      <c r="H29" s="5"/>
    </row>
    <row r="30" spans="1:5" s="1" customFormat="1" ht="12.75">
      <c r="A30" s="365"/>
      <c r="B30" s="362"/>
      <c r="C30" s="363"/>
      <c r="D30" s="362"/>
      <c r="E30" s="348"/>
    </row>
    <row r="31" spans="1:5" s="1" customFormat="1" ht="12.75">
      <c r="A31" s="96"/>
      <c r="B31" s="358"/>
      <c r="C31" s="363"/>
      <c r="D31" s="362"/>
      <c r="E31" s="348"/>
    </row>
    <row r="32" spans="1:5" s="1" customFormat="1" ht="12.75">
      <c r="A32" s="96"/>
      <c r="B32" s="96"/>
      <c r="C32" s="366"/>
      <c r="D32" s="367"/>
      <c r="E32" s="348"/>
    </row>
    <row r="33" spans="1:5" s="1" customFormat="1" ht="12.75">
      <c r="A33" s="96"/>
      <c r="B33" s="96"/>
      <c r="C33" s="368"/>
      <c r="D33" s="367"/>
      <c r="E33" s="348"/>
    </row>
    <row r="34" spans="1:7" s="1" customFormat="1" ht="12.75">
      <c r="A34" s="343"/>
      <c r="B34" s="208"/>
      <c r="C34" s="343"/>
      <c r="D34" s="344"/>
      <c r="E34" s="344"/>
      <c r="F34" s="10"/>
      <c r="G34" s="10"/>
    </row>
    <row r="35" spans="1:7" s="1" customFormat="1" ht="12.75">
      <c r="A35" s="96"/>
      <c r="B35" s="369"/>
      <c r="C35" s="186"/>
      <c r="D35" s="186"/>
      <c r="E35" s="186"/>
      <c r="F35" s="162"/>
      <c r="G35" s="11"/>
    </row>
    <row r="36" spans="1:7" ht="12.75">
      <c r="A36" s="9"/>
      <c r="B36" s="9"/>
      <c r="C36" s="9"/>
      <c r="D36" s="156"/>
      <c r="E36" s="156"/>
      <c r="F36" s="9"/>
      <c r="G36" s="9"/>
    </row>
    <row r="37" spans="1:7" ht="12.75">
      <c r="A37" s="210">
        <v>0.04</v>
      </c>
      <c r="B37" s="209">
        <f>IF(G42&gt;B31,(G42-B31)*C31,0)</f>
        <v>0</v>
      </c>
      <c r="C37" s="9"/>
      <c r="D37" s="156"/>
      <c r="E37" s="156"/>
      <c r="F37" s="9"/>
      <c r="G37" s="9"/>
    </row>
    <row r="38" spans="1:7" ht="12.75">
      <c r="A38" s="9" t="s">
        <v>121</v>
      </c>
      <c r="B38" s="159">
        <f>IF(D42&gt;625,B35+B37,0)</f>
        <v>0</v>
      </c>
      <c r="C38" s="9"/>
      <c r="D38" s="156"/>
      <c r="E38" s="164"/>
      <c r="G38" s="9"/>
    </row>
    <row r="39" spans="1:7" ht="12.75">
      <c r="A39" s="9"/>
      <c r="C39" s="9"/>
      <c r="D39" s="156"/>
      <c r="E39" s="156"/>
      <c r="G39" s="9"/>
    </row>
    <row r="40" spans="1:7" s="96" customFormat="1" ht="12.75">
      <c r="A40" s="343"/>
      <c r="D40" s="344"/>
      <c r="E40" s="344"/>
      <c r="F40" s="343"/>
      <c r="G40" s="343"/>
    </row>
    <row r="41" spans="1:7" s="96" customFormat="1" ht="12.75">
      <c r="A41" s="343"/>
      <c r="D41" s="344"/>
      <c r="E41" s="345"/>
      <c r="F41" s="186"/>
      <c r="G41" s="343"/>
    </row>
    <row r="42" spans="1:7" s="96" customFormat="1" ht="12.75">
      <c r="A42" s="343"/>
      <c r="B42" s="208"/>
      <c r="C42" s="208"/>
      <c r="D42" s="211"/>
      <c r="E42" s="346"/>
      <c r="F42" s="347"/>
      <c r="G42" s="211"/>
    </row>
    <row r="43" spans="1:7" s="96" customFormat="1" ht="12.75">
      <c r="A43" s="343"/>
      <c r="B43" s="208"/>
      <c r="D43" s="348"/>
      <c r="E43" s="349"/>
      <c r="F43" s="343"/>
      <c r="G43" s="343"/>
    </row>
    <row r="44" spans="1:7" s="96" customFormat="1" ht="12.75">
      <c r="A44" s="343"/>
      <c r="B44" s="208"/>
      <c r="C44" s="208"/>
      <c r="D44" s="211"/>
      <c r="E44" s="350"/>
      <c r="F44" s="211"/>
      <c r="G44" s="343"/>
    </row>
    <row r="45" spans="1:7" s="96" customFormat="1" ht="12.75">
      <c r="A45" s="343"/>
      <c r="B45" s="208"/>
      <c r="C45" s="208"/>
      <c r="D45" s="211"/>
      <c r="E45" s="350"/>
      <c r="F45" s="211"/>
      <c r="G45" s="343"/>
    </row>
    <row r="46" spans="1:7" s="96" customFormat="1" ht="12.75">
      <c r="A46" s="343"/>
      <c r="B46" s="208"/>
      <c r="C46" s="208"/>
      <c r="D46" s="211"/>
      <c r="E46" s="350"/>
      <c r="F46" s="211"/>
      <c r="G46" s="343"/>
    </row>
    <row r="47" spans="1:7" s="96" customFormat="1" ht="12.75">
      <c r="A47" s="343"/>
      <c r="B47" s="208"/>
      <c r="C47" s="208"/>
      <c r="D47" s="211"/>
      <c r="E47" s="350"/>
      <c r="F47" s="211"/>
      <c r="G47" s="343"/>
    </row>
    <row r="48" spans="1:7" s="96" customFormat="1" ht="12.75">
      <c r="A48" s="343"/>
      <c r="B48" s="208"/>
      <c r="C48" s="208"/>
      <c r="D48" s="211"/>
      <c r="E48" s="350"/>
      <c r="F48" s="211"/>
      <c r="G48" s="343"/>
    </row>
    <row r="49" spans="1:7" s="96" customFormat="1" ht="12.75">
      <c r="A49" s="343"/>
      <c r="B49" s="208"/>
      <c r="C49" s="208"/>
      <c r="D49" s="211"/>
      <c r="E49" s="350"/>
      <c r="F49" s="211"/>
      <c r="G49" s="343"/>
    </row>
    <row r="50" spans="1:7" s="96" customFormat="1" ht="12.75">
      <c r="A50" s="343"/>
      <c r="B50" s="186"/>
      <c r="C50" s="186"/>
      <c r="D50" s="344"/>
      <c r="E50" s="350"/>
      <c r="F50" s="211"/>
      <c r="G50" s="343"/>
    </row>
    <row r="51" spans="1:7" s="96" customFormat="1" ht="12.75">
      <c r="A51" s="343"/>
      <c r="B51" s="186"/>
      <c r="C51" s="186"/>
      <c r="D51" s="344"/>
      <c r="E51" s="344"/>
      <c r="F51" s="351"/>
      <c r="G51" s="343"/>
    </row>
    <row r="52" spans="1:7" s="96" customFormat="1" ht="12.75">
      <c r="A52" s="343"/>
      <c r="B52" s="186"/>
      <c r="C52" s="186"/>
      <c r="D52" s="344"/>
      <c r="E52" s="346"/>
      <c r="F52" s="347"/>
      <c r="G52" s="343"/>
    </row>
    <row r="53" spans="1:7" s="96" customFormat="1" ht="12.75">
      <c r="A53" s="343"/>
      <c r="B53" s="186"/>
      <c r="C53" s="186"/>
      <c r="D53" s="344"/>
      <c r="E53" s="344"/>
      <c r="F53" s="343"/>
      <c r="G53" s="343"/>
    </row>
    <row r="54" spans="1:7" ht="12.75">
      <c r="A54" s="9"/>
      <c r="B54" s="162"/>
      <c r="C54" s="162"/>
      <c r="D54" s="156"/>
      <c r="E54" s="156"/>
      <c r="F54" s="9"/>
      <c r="G54" s="9"/>
    </row>
    <row r="55" spans="1:7" ht="12.75">
      <c r="A55" s="9"/>
      <c r="B55" s="162"/>
      <c r="C55" s="162"/>
      <c r="D55" s="156"/>
      <c r="E55" s="156"/>
      <c r="F55" s="9"/>
      <c r="G55" s="9"/>
    </row>
    <row r="56" spans="1:7" ht="12.75">
      <c r="A56" s="9"/>
      <c r="B56" s="162"/>
      <c r="C56" s="162"/>
      <c r="D56" s="156"/>
      <c r="E56" s="156"/>
      <c r="F56" s="9"/>
      <c r="G56" s="9"/>
    </row>
    <row r="57" spans="1:4" ht="12.75">
      <c r="A57" s="9"/>
      <c r="B57" s="162"/>
      <c r="C57" s="159"/>
      <c r="D57" s="156"/>
    </row>
    <row r="58" spans="2:4" ht="12.75">
      <c r="B58" s="186"/>
      <c r="C58" s="186"/>
      <c r="D58" s="156"/>
    </row>
    <row r="59" spans="2:4" ht="12.75">
      <c r="B59" s="186"/>
      <c r="C59" s="186"/>
      <c r="D59" s="156"/>
    </row>
    <row r="60" spans="2:4" ht="12.75">
      <c r="B60" s="186"/>
      <c r="C60" s="186"/>
      <c r="D60" s="156"/>
    </row>
    <row r="61" spans="2:4" ht="12.75">
      <c r="B61" s="186"/>
      <c r="C61" s="186"/>
      <c r="D61" s="156"/>
    </row>
  </sheetData>
  <sheetProtection/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Studio Porcelli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</dc:creator>
  <cp:keywords/>
  <dc:description/>
  <cp:lastModifiedBy>pc0215</cp:lastModifiedBy>
  <cp:lastPrinted>2014-10-28T14:09:28Z</cp:lastPrinted>
  <dcterms:created xsi:type="dcterms:W3CDTF">1998-10-12T10:04:43Z</dcterms:created>
  <dcterms:modified xsi:type="dcterms:W3CDTF">2019-10-28T08:59:59Z</dcterms:modified>
  <cp:category/>
  <cp:version/>
  <cp:contentType/>
  <cp:contentStatus/>
</cp:coreProperties>
</file>